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user\Downloads\"/>
    </mc:Choice>
  </mc:AlternateContent>
  <xr:revisionPtr revIDLastSave="0" documentId="8_{D5173974-5EC3-4736-9084-BECBED85EB12}" xr6:coauthVersionLast="47" xr6:coauthVersionMax="47" xr10:uidLastSave="{00000000-0000-0000-0000-000000000000}"/>
  <bookViews>
    <workbookView xWindow="-110" yWindow="-110" windowWidth="19420" windowHeight="10300" xr2:uid="{00000000-000D-0000-FFFF-FFFF00000000}"/>
  </bookViews>
  <sheets>
    <sheet name="NYIRAMUHEBE-KANZOGERA-MUYUNZW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1" i="1" l="1"/>
  <c r="F362" i="1"/>
  <c r="F129" i="1"/>
  <c r="F130" i="1"/>
  <c r="F131" i="1"/>
  <c r="F132" i="1"/>
  <c r="F133" i="1"/>
  <c r="F134" i="1"/>
  <c r="F135" i="1"/>
  <c r="F136" i="1"/>
  <c r="F137" i="1"/>
  <c r="F138" i="1"/>
  <c r="F139" i="1"/>
  <c r="F140" i="1"/>
  <c r="F141" i="1"/>
  <c r="F142" i="1"/>
  <c r="F143" i="1"/>
  <c r="F128" i="1"/>
  <c r="F230" i="1" l="1"/>
  <c r="D229" i="1"/>
  <c r="F229" i="1" s="1"/>
  <c r="D228" i="1"/>
  <c r="F228" i="1" s="1"/>
  <c r="D225" i="1"/>
  <c r="D226" i="1" s="1"/>
  <c r="D224" i="1"/>
  <c r="F224" i="1" s="1"/>
  <c r="F221" i="1"/>
  <c r="F220" i="1"/>
  <c r="F219" i="1"/>
  <c r="D218" i="1"/>
  <c r="F218" i="1" s="1"/>
  <c r="D217" i="1"/>
  <c r="F217" i="1" s="1"/>
  <c r="D216" i="1"/>
  <c r="F216" i="1" s="1"/>
  <c r="D215" i="1"/>
  <c r="F215" i="1" s="1"/>
  <c r="D214" i="1"/>
  <c r="F214" i="1" s="1"/>
  <c r="D213" i="1"/>
  <c r="F213" i="1" s="1"/>
  <c r="D212" i="1"/>
  <c r="F212" i="1" s="1"/>
  <c r="D211" i="1"/>
  <c r="F211" i="1" s="1"/>
  <c r="F208" i="1"/>
  <c r="D207" i="1"/>
  <c r="F207" i="1" s="1"/>
  <c r="D206" i="1"/>
  <c r="F206" i="1" s="1"/>
  <c r="D205" i="1"/>
  <c r="F205" i="1" s="1"/>
  <c r="D203" i="1"/>
  <c r="D204" i="1" s="1"/>
  <c r="F204" i="1" s="1"/>
  <c r="D202" i="1"/>
  <c r="F202" i="1" s="1"/>
  <c r="D201" i="1"/>
  <c r="F201" i="1" s="1"/>
  <c r="D200" i="1"/>
  <c r="F200" i="1" s="1"/>
  <c r="D199" i="1"/>
  <c r="F199" i="1" s="1"/>
  <c r="D198" i="1"/>
  <c r="F198" i="1" s="1"/>
  <c r="D197" i="1"/>
  <c r="F197" i="1" s="1"/>
  <c r="F225" i="1" l="1"/>
  <c r="F203" i="1"/>
  <c r="D227" i="1"/>
  <c r="F227" i="1" s="1"/>
  <c r="F226" i="1"/>
  <c r="F231" i="1" s="1"/>
  <c r="F232" i="1" s="1"/>
  <c r="F144" i="1" l="1"/>
  <c r="F145" i="1" s="1"/>
  <c r="F146" i="1" s="1"/>
  <c r="F364" i="1" l="1"/>
  <c r="F363" i="1"/>
  <c r="F361" i="1"/>
  <c r="F360" i="1"/>
  <c r="F355" i="1"/>
  <c r="F354" i="1"/>
  <c r="F353" i="1"/>
  <c r="F352" i="1"/>
  <c r="F351" i="1"/>
  <c r="F350" i="1"/>
  <c r="F349" i="1"/>
  <c r="F344" i="1"/>
  <c r="F343" i="1"/>
  <c r="F342" i="1"/>
  <c r="F341" i="1"/>
  <c r="F340" i="1"/>
  <c r="F339" i="1"/>
  <c r="F338" i="1"/>
  <c r="F337" i="1"/>
  <c r="F336" i="1"/>
  <c r="F331" i="1"/>
  <c r="F330" i="1"/>
  <c r="F329" i="1"/>
  <c r="F328" i="1"/>
  <c r="F327" i="1"/>
  <c r="F326" i="1"/>
  <c r="F325" i="1"/>
  <c r="F324" i="1"/>
  <c r="F323" i="1"/>
  <c r="F322" i="1"/>
  <c r="F321" i="1"/>
  <c r="F320" i="1"/>
  <c r="F319" i="1"/>
  <c r="F310" i="1"/>
  <c r="F309" i="1"/>
  <c r="D307" i="1"/>
  <c r="F307" i="1" s="1"/>
  <c r="D306" i="1"/>
  <c r="F306" i="1" s="1"/>
  <c r="F303" i="1"/>
  <c r="D302" i="1"/>
  <c r="D308" i="1" s="1"/>
  <c r="F308" i="1" s="1"/>
  <c r="F301" i="1"/>
  <c r="D300" i="1"/>
  <c r="F300" i="1" s="1"/>
  <c r="D298" i="1"/>
  <c r="F298" i="1" s="1"/>
  <c r="F295" i="1"/>
  <c r="F294" i="1"/>
  <c r="F293" i="1"/>
  <c r="D291" i="1"/>
  <c r="F291" i="1" s="1"/>
  <c r="F289" i="1"/>
  <c r="F288" i="1"/>
  <c r="F287" i="1"/>
  <c r="F286" i="1"/>
  <c r="F285" i="1"/>
  <c r="D283" i="1"/>
  <c r="F283" i="1" s="1"/>
  <c r="D281" i="1"/>
  <c r="F281" i="1" s="1"/>
  <c r="D278" i="1"/>
  <c r="F278" i="1" s="1"/>
  <c r="D277" i="1"/>
  <c r="F277" i="1" s="1"/>
  <c r="D276" i="1"/>
  <c r="F276" i="1" s="1"/>
  <c r="D275" i="1"/>
  <c r="F275" i="1" s="1"/>
  <c r="D274" i="1"/>
  <c r="F274" i="1" s="1"/>
  <c r="D272" i="1"/>
  <c r="F272" i="1" s="1"/>
  <c r="F266" i="1"/>
  <c r="F265" i="1"/>
  <c r="F264" i="1"/>
  <c r="D263" i="1"/>
  <c r="F263" i="1" s="1"/>
  <c r="D262" i="1"/>
  <c r="F262" i="1" s="1"/>
  <c r="D261" i="1"/>
  <c r="F261" i="1" s="1"/>
  <c r="D260" i="1"/>
  <c r="F260" i="1" s="1"/>
  <c r="F259" i="1"/>
  <c r="D258" i="1"/>
  <c r="F258" i="1" s="1"/>
  <c r="D256" i="1"/>
  <c r="F256" i="1" s="1"/>
  <c r="D255" i="1"/>
  <c r="F255" i="1" s="1"/>
  <c r="F250" i="1"/>
  <c r="F249" i="1"/>
  <c r="F248" i="1"/>
  <c r="F247" i="1"/>
  <c r="D247" i="1"/>
  <c r="D246" i="1"/>
  <c r="F246" i="1" s="1"/>
  <c r="D245" i="1"/>
  <c r="F245" i="1" s="1"/>
  <c r="D244" i="1"/>
  <c r="F244" i="1" s="1"/>
  <c r="D243" i="1"/>
  <c r="F243" i="1" s="1"/>
  <c r="D242" i="1"/>
  <c r="F242" i="1" s="1"/>
  <c r="D240" i="1"/>
  <c r="D241" i="1" s="1"/>
  <c r="F241" i="1" s="1"/>
  <c r="D239" i="1"/>
  <c r="F239" i="1" s="1"/>
  <c r="F192" i="1"/>
  <c r="D191" i="1"/>
  <c r="F191" i="1" s="1"/>
  <c r="D190" i="1"/>
  <c r="F190" i="1" s="1"/>
  <c r="D187" i="1"/>
  <c r="D188" i="1" s="1"/>
  <c r="D186" i="1"/>
  <c r="F186" i="1" s="1"/>
  <c r="F183" i="1"/>
  <c r="F182" i="1"/>
  <c r="F181" i="1"/>
  <c r="D180" i="1"/>
  <c r="F180" i="1" s="1"/>
  <c r="D179" i="1"/>
  <c r="F179" i="1" s="1"/>
  <c r="D178" i="1"/>
  <c r="F178" i="1" s="1"/>
  <c r="D177" i="1"/>
  <c r="F177" i="1" s="1"/>
  <c r="D176" i="1"/>
  <c r="F176" i="1" s="1"/>
  <c r="D175" i="1"/>
  <c r="F175" i="1" s="1"/>
  <c r="D174" i="1"/>
  <c r="F174" i="1" s="1"/>
  <c r="D173" i="1"/>
  <c r="F173" i="1" s="1"/>
  <c r="F171" i="1"/>
  <c r="F170" i="1"/>
  <c r="D169" i="1"/>
  <c r="F169" i="1" s="1"/>
  <c r="D168" i="1"/>
  <c r="F168" i="1" s="1"/>
  <c r="D166" i="1"/>
  <c r="F166" i="1" s="1"/>
  <c r="D165" i="1"/>
  <c r="F165" i="1" s="1"/>
  <c r="D164" i="1"/>
  <c r="F164" i="1" s="1"/>
  <c r="D163" i="1"/>
  <c r="F163" i="1" s="1"/>
  <c r="D162" i="1"/>
  <c r="F162" i="1" s="1"/>
  <c r="D161" i="1"/>
  <c r="F161" i="1" s="1"/>
  <c r="D160" i="1"/>
  <c r="F160" i="1" s="1"/>
  <c r="F150" i="1"/>
  <c r="F154" i="1" s="1"/>
  <c r="F123" i="1"/>
  <c r="F122" i="1"/>
  <c r="F121" i="1"/>
  <c r="D120" i="1"/>
  <c r="F120" i="1" s="1"/>
  <c r="D119" i="1"/>
  <c r="F119" i="1" s="1"/>
  <c r="D117" i="1"/>
  <c r="F117" i="1" s="1"/>
  <c r="D116" i="1"/>
  <c r="D118" i="1" s="1"/>
  <c r="F118" i="1" s="1"/>
  <c r="D115" i="1"/>
  <c r="F115" i="1" s="1"/>
  <c r="D114" i="1"/>
  <c r="F114" i="1" s="1"/>
  <c r="D113" i="1"/>
  <c r="F113" i="1" s="1"/>
  <c r="D112" i="1"/>
  <c r="F112" i="1" s="1"/>
  <c r="D111" i="1"/>
  <c r="F111" i="1" s="1"/>
  <c r="D110" i="1"/>
  <c r="F110" i="1" s="1"/>
  <c r="F105" i="1"/>
  <c r="F104" i="1"/>
  <c r="F103" i="1"/>
  <c r="D102" i="1"/>
  <c r="F102" i="1" s="1"/>
  <c r="D101" i="1"/>
  <c r="F101" i="1" s="1"/>
  <c r="D100" i="1"/>
  <c r="F100" i="1" s="1"/>
  <c r="D99" i="1"/>
  <c r="F99" i="1" s="1"/>
  <c r="D98" i="1"/>
  <c r="F98" i="1" s="1"/>
  <c r="D97" i="1"/>
  <c r="F97" i="1" s="1"/>
  <c r="D96" i="1"/>
  <c r="F96" i="1" s="1"/>
  <c r="D95" i="1"/>
  <c r="F95" i="1" s="1"/>
  <c r="F89" i="1"/>
  <c r="F88" i="1"/>
  <c r="F87" i="1"/>
  <c r="F86" i="1"/>
  <c r="D85" i="1"/>
  <c r="F85" i="1" s="1"/>
  <c r="D84" i="1"/>
  <c r="F84" i="1" s="1"/>
  <c r="D83" i="1"/>
  <c r="F83" i="1" s="1"/>
  <c r="D82" i="1"/>
  <c r="F82" i="1" s="1"/>
  <c r="D81" i="1"/>
  <c r="F81" i="1" s="1"/>
  <c r="D80" i="1"/>
  <c r="F80" i="1" s="1"/>
  <c r="D79" i="1"/>
  <c r="F79" i="1" s="1"/>
  <c r="D78" i="1"/>
  <c r="F78" i="1" s="1"/>
  <c r="D77" i="1"/>
  <c r="F77" i="1" s="1"/>
  <c r="F72" i="1"/>
  <c r="F70" i="1"/>
  <c r="D69" i="1"/>
  <c r="F69" i="1" s="1"/>
  <c r="D68" i="1"/>
  <c r="F68" i="1" s="1"/>
  <c r="D67" i="1"/>
  <c r="F67" i="1" s="1"/>
  <c r="D66" i="1"/>
  <c r="F66" i="1" s="1"/>
  <c r="D65" i="1"/>
  <c r="F65" i="1" s="1"/>
  <c r="D64" i="1"/>
  <c r="F64" i="1" s="1"/>
  <c r="D63" i="1"/>
  <c r="F63" i="1" s="1"/>
  <c r="D62" i="1"/>
  <c r="F62" i="1" s="1"/>
  <c r="D61" i="1"/>
  <c r="F61" i="1" s="1"/>
  <c r="F51" i="1"/>
  <c r="F50" i="1"/>
  <c r="D49" i="1"/>
  <c r="F49" i="1" s="1"/>
  <c r="F48" i="1"/>
  <c r="F47" i="1"/>
  <c r="F46" i="1"/>
  <c r="F45" i="1"/>
  <c r="F44" i="1"/>
  <c r="F43" i="1"/>
  <c r="F42" i="1"/>
  <c r="F41" i="1"/>
  <c r="D36" i="1"/>
  <c r="F36" i="1" s="1"/>
  <c r="F35" i="1"/>
  <c r="F20" i="1"/>
  <c r="F18" i="1" s="1"/>
  <c r="F19" i="1"/>
  <c r="F22" i="1" l="1"/>
  <c r="F52" i="1"/>
  <c r="D297" i="1"/>
  <c r="F297" i="1" s="1"/>
  <c r="F332" i="1"/>
  <c r="F333" i="1" s="1"/>
  <c r="F356" i="1"/>
  <c r="F357" i="1" s="1"/>
  <c r="F90" i="1"/>
  <c r="F91" i="1" s="1"/>
  <c r="F116" i="1"/>
  <c r="F124" i="1" s="1"/>
  <c r="F125" i="1" s="1"/>
  <c r="F302" i="1"/>
  <c r="F73" i="1"/>
  <c r="F74" i="1" s="1"/>
  <c r="F156" i="1" s="1"/>
  <c r="D167" i="1"/>
  <c r="F167" i="1" s="1"/>
  <c r="F345" i="1"/>
  <c r="F346" i="1" s="1"/>
  <c r="F365" i="1"/>
  <c r="F366" i="1" s="1"/>
  <c r="D280" i="1"/>
  <c r="F280" i="1" s="1"/>
  <c r="F106" i="1"/>
  <c r="F107" i="1" s="1"/>
  <c r="F37" i="1"/>
  <c r="D189" i="1"/>
  <c r="F189" i="1" s="1"/>
  <c r="F188" i="1"/>
  <c r="F187" i="1"/>
  <c r="F240" i="1"/>
  <c r="F251" i="1" s="1"/>
  <c r="F252" i="1" s="1"/>
  <c r="D257" i="1"/>
  <c r="F257" i="1" s="1"/>
  <c r="F267" i="1" s="1"/>
  <c r="F268" i="1" s="1"/>
  <c r="D305" i="1"/>
  <c r="F305" i="1" s="1"/>
  <c r="F54" i="1" l="1"/>
  <c r="F369" i="1"/>
  <c r="F311" i="1"/>
  <c r="F312" i="1" s="1"/>
  <c r="F313" i="1" s="1"/>
  <c r="F193" i="1"/>
  <c r="F194" i="1" s="1"/>
  <c r="F234" i="1" s="1"/>
  <c r="F314" i="1" l="1"/>
  <c r="F370" i="1" s="1"/>
  <c r="F372" i="1" l="1"/>
  <c r="F374" i="1" s="1"/>
</calcChain>
</file>

<file path=xl/sharedStrings.xml><?xml version="1.0" encoding="utf-8"?>
<sst xmlns="http://schemas.openxmlformats.org/spreadsheetml/2006/main" count="787" uniqueCount="504">
  <si>
    <t xml:space="preserve"> FOREWORD</t>
  </si>
  <si>
    <t>SITE PRELIMINARIES</t>
  </si>
  <si>
    <t>SUPPLY AND LAYING OF PIPES</t>
  </si>
  <si>
    <t>CIVIL WORKS</t>
  </si>
  <si>
    <t>REHABILITATION WORKS</t>
  </si>
  <si>
    <t>Detailed Quantity Estimate</t>
  </si>
  <si>
    <t>Item N°</t>
  </si>
  <si>
    <t xml:space="preserve">DESCRIPTION </t>
  </si>
  <si>
    <t>UNIT</t>
  </si>
  <si>
    <t>QTY</t>
  </si>
  <si>
    <t>RATE</t>
  </si>
  <si>
    <t>AMOUNT</t>
  </si>
  <si>
    <t xml:space="preserve">Preparation of the site according to technical specifications;acces road, mobilization of the material and its transport on the site, installation of the site, storage, guarding, including the toilet of the personnel. The installation includes the water connection  on the existing network. Site preparation also includes, site clearance, removal of top soil, levelling or any shaping necessary to the installations of the site together with all the cut and fill necessary to this end. The estimated cost for this item is maintained all through to the completion of the works. </t>
  </si>
  <si>
    <t>LS</t>
  </si>
  <si>
    <t>Putting in place a site billboards according to the client's instructions, and including and all accruals</t>
  </si>
  <si>
    <t>Ls</t>
  </si>
  <si>
    <t>Design review and production of work execution documents, and including all accruals, and as built plans documents (soft and hard copies)</t>
  </si>
  <si>
    <t>Km</t>
  </si>
  <si>
    <t>SUBTOTAL DIVISION 1:</t>
  </si>
  <si>
    <t>Supply and installation of pipelines</t>
  </si>
  <si>
    <t xml:space="preserve">The following prices include : </t>
  </si>
  <si>
    <t>The earthwork, trenches backfilling and land remediation at natural surface ground.</t>
  </si>
  <si>
    <t>Supply, fix, and pressure testing for watertightness of pipes PN16 including lubricants and seals.</t>
  </si>
  <si>
    <t>Earthwork by excavation and backfilling</t>
  </si>
  <si>
    <t>2.1.1</t>
  </si>
  <si>
    <t>Excavation and backfilling  of Trenche  with 1 x0.6 m  (according to Wasac standard)  depth , including all accruals.</t>
  </si>
  <si>
    <t>lm</t>
  </si>
  <si>
    <t>2.1.2</t>
  </si>
  <si>
    <t>Supply and Installation of Concrete Terminals (painted blue and numbered) on the route of the pipeline, dim.0.15 * 0.15 * 0.8m , every 100m and at each change of direction (elbow position)</t>
  </si>
  <si>
    <t>Item</t>
  </si>
  <si>
    <t>SUBTOTAL 2.1:</t>
  </si>
  <si>
    <t>2.2.1</t>
  </si>
  <si>
    <t>HDPE Pipe ND 75 NP 16</t>
  </si>
  <si>
    <t>2.2.2</t>
  </si>
  <si>
    <t>HDPE Pipe ND 63 NP 16</t>
  </si>
  <si>
    <t>2.2.3</t>
  </si>
  <si>
    <t>HDPE Pipe ND 50 NP 16</t>
  </si>
  <si>
    <t>2.2.4</t>
  </si>
  <si>
    <t>HDPE Pipe ND 40 NP 16</t>
  </si>
  <si>
    <t>2.2.5</t>
  </si>
  <si>
    <t>HDPE Pipe ND 32 NP 16</t>
  </si>
  <si>
    <t>2.2.6</t>
  </si>
  <si>
    <t>HDPE Pipe ND 40 NP 25</t>
  </si>
  <si>
    <t>2.2.8</t>
  </si>
  <si>
    <t>casing with GS 1 1/4'' pipe</t>
  </si>
  <si>
    <t>2.2.9</t>
  </si>
  <si>
    <t>Casing with G.S 2 1/2" pipes</t>
  </si>
  <si>
    <t>2.2.10</t>
  </si>
  <si>
    <t>Solid mass of masonry in stones for pipes stabilization</t>
  </si>
  <si>
    <r>
      <t>m</t>
    </r>
    <r>
      <rPr>
        <vertAlign val="superscript"/>
        <sz val="10"/>
        <color theme="1"/>
        <rFont val="Arial"/>
        <family val="2"/>
      </rPr>
      <t>3</t>
    </r>
  </si>
  <si>
    <t>2.2.11</t>
  </si>
  <si>
    <t>Pressure test</t>
  </si>
  <si>
    <t>2.2.12</t>
  </si>
  <si>
    <t>Desinfection of network with chlorine</t>
  </si>
  <si>
    <t>SUBTOTAL 2.2:</t>
  </si>
  <si>
    <t>SUBTOTAL DIVISION 2:</t>
  </si>
  <si>
    <t>INSPECTION CHAMBERS</t>
  </si>
  <si>
    <t>3.1.1</t>
  </si>
  <si>
    <t>3.1.1.1</t>
  </si>
  <si>
    <t xml:space="preserve">Earthworks cut, fill and evacuation or overlay of the surplus soils, including all accruals </t>
  </si>
  <si>
    <t>3.1.1.2</t>
  </si>
  <si>
    <t>Hardcore (stones pitching) of 30 cm with a filling of 1:10  cement sand mortar mix, saturated with water</t>
  </si>
  <si>
    <t>3.1.1.3</t>
  </si>
  <si>
    <t>3.1.1.4</t>
  </si>
  <si>
    <t>3.1.1.5</t>
  </si>
  <si>
    <t>3.1.1.6</t>
  </si>
  <si>
    <t>3.1.1.7</t>
  </si>
  <si>
    <t>Coating of the internal face of wall of the inspection chamber with 3 layers of plaster of 300 kg</t>
  </si>
  <si>
    <r>
      <t>m</t>
    </r>
    <r>
      <rPr>
        <vertAlign val="superscript"/>
        <sz val="10"/>
        <color theme="1"/>
        <rFont val="Arial"/>
        <family val="2"/>
      </rPr>
      <t>2</t>
    </r>
  </si>
  <si>
    <t>3.1.1.8</t>
  </si>
  <si>
    <t>3.1.1.9</t>
  </si>
  <si>
    <t>Supply and fix the damp proof course between  the roof slab, the wall and the beam of support</t>
  </si>
  <si>
    <t>3.1.1.10</t>
  </si>
  <si>
    <t>Supply and fix of the metallic cover of 60X60X0.3 cm  with a ventilation shaft at the top and mosquito screen</t>
  </si>
  <si>
    <t>item</t>
  </si>
  <si>
    <t>3.1.1.11</t>
  </si>
  <si>
    <t>Supply and fix an iron  ladder for interior access embedded in the wall, painted with 3 layers of paint "rust preventive", the step=25cm</t>
  </si>
  <si>
    <t>3.1.1.12</t>
  </si>
  <si>
    <t>Supply and installation of hydraulic equipment and Fittings for connection of Air release valve</t>
  </si>
  <si>
    <t>SUBTOTAL</t>
  </si>
  <si>
    <t>SUBTOTAL of 1 Air vent</t>
  </si>
  <si>
    <t>3.1.2</t>
  </si>
  <si>
    <t>3.1.2.1</t>
  </si>
  <si>
    <t>3.1.2.2</t>
  </si>
  <si>
    <t>3.1.2.3</t>
  </si>
  <si>
    <t>3.1.2.4</t>
  </si>
  <si>
    <t>3.1.2.5</t>
  </si>
  <si>
    <t>3.1.2.6</t>
  </si>
  <si>
    <t>3.1.2.7</t>
  </si>
  <si>
    <t>3.1.2.8</t>
  </si>
  <si>
    <t>3.1.2.9</t>
  </si>
  <si>
    <t>3.1.2.10</t>
  </si>
  <si>
    <t>3.1.2.11</t>
  </si>
  <si>
    <t>3.1.2.12</t>
  </si>
  <si>
    <t>Supply and installation of hydraulic equipment and Fittings for connection of washout</t>
  </si>
  <si>
    <t>3.1.2.13</t>
  </si>
  <si>
    <t>Rejection works</t>
  </si>
  <si>
    <t>3.1.3</t>
  </si>
  <si>
    <t>3.1.3.1</t>
  </si>
  <si>
    <t>Terracing, digging, cutting, excavation, backfilling, overlay of surplus soil and land remediation, including all acruals</t>
  </si>
  <si>
    <t>3.1.3.2</t>
  </si>
  <si>
    <t>Hardcore (stones pitching) of 20 cm with a filling of 1:10  cement sand mortar mix, saturated with water</t>
  </si>
  <si>
    <t>3.1.3.3</t>
  </si>
  <si>
    <t>3.1.3.4</t>
  </si>
  <si>
    <t>3.1.3.5</t>
  </si>
  <si>
    <t>3.1.3.6</t>
  </si>
  <si>
    <r>
      <t>Coating of the internal side of wall of the inspection chamber with plaster of 300 kg/m</t>
    </r>
    <r>
      <rPr>
        <vertAlign val="superscript"/>
        <sz val="10"/>
        <color theme="1"/>
        <rFont val="Arial"/>
        <family val="2"/>
      </rPr>
      <t>3</t>
    </r>
    <r>
      <rPr>
        <sz val="10"/>
        <color theme="1"/>
        <rFont val="Arial"/>
        <family val="2"/>
      </rPr>
      <t xml:space="preserve"> ciment mixture</t>
    </r>
  </si>
  <si>
    <r>
      <t>m</t>
    </r>
    <r>
      <rPr>
        <vertAlign val="superscript"/>
        <sz val="10"/>
        <color theme="1"/>
        <rFont val="Arial"/>
        <family val="2"/>
      </rPr>
      <t>2</t>
    </r>
    <r>
      <rPr>
        <sz val="10"/>
        <rFont val="Arial"/>
        <family val="2"/>
      </rPr>
      <t/>
    </r>
  </si>
  <si>
    <t>3.1.3.7</t>
  </si>
  <si>
    <t>3.1.3.8</t>
  </si>
  <si>
    <t>3.1.3.9</t>
  </si>
  <si>
    <t>Supply and fix of the metallic cover of 60X60X0.3 cm  with a ventilation shaft at the top and the mosquito screen</t>
  </si>
  <si>
    <t>3.1.3.10</t>
  </si>
  <si>
    <t>Supply and fix an  iron  ladder for interior access embedded in the wall, painted with 3 layers of rust preventive paint, the step=25cm</t>
  </si>
  <si>
    <t>3.1.3.11</t>
  </si>
  <si>
    <t>Supply and installation of hydraulic equipment and Fittings for connection of  automatic valve chamber  (All valve of PN16).</t>
  </si>
  <si>
    <t>SUBTOTAL 3.1.3</t>
  </si>
  <si>
    <t>SUBTOTAL 3.1.3 (For 9 Valve chamber)</t>
  </si>
  <si>
    <t>3.1.4.1</t>
  </si>
  <si>
    <r>
      <t>m</t>
    </r>
    <r>
      <rPr>
        <vertAlign val="superscript"/>
        <sz val="12"/>
        <rFont val="Times New Roman"/>
        <family val="1"/>
      </rPr>
      <t>3</t>
    </r>
  </si>
  <si>
    <t>3.1.4.2</t>
  </si>
  <si>
    <t>3.1.4.3</t>
  </si>
  <si>
    <t>3.1.4.4</t>
  </si>
  <si>
    <t>3.1.4.5</t>
  </si>
  <si>
    <t>3.1.4.6</t>
  </si>
  <si>
    <t>Coating of the internal side of wall of the inspection chamber with 3 layers of plaster of 300 kg ciment mixture</t>
  </si>
  <si>
    <r>
      <t>m</t>
    </r>
    <r>
      <rPr>
        <vertAlign val="superscript"/>
        <sz val="12"/>
        <rFont val="Times New Roman"/>
        <family val="1"/>
      </rPr>
      <t>2</t>
    </r>
    <r>
      <rPr>
        <sz val="10"/>
        <rFont val="Arial"/>
        <family val="2"/>
      </rPr>
      <t/>
    </r>
  </si>
  <si>
    <t>3.1.4.7</t>
  </si>
  <si>
    <t>3.1.4.8</t>
  </si>
  <si>
    <t>3.1.4.9</t>
  </si>
  <si>
    <t>3.1.4.10</t>
  </si>
  <si>
    <t>3.1.4.11</t>
  </si>
  <si>
    <t>3.1.5</t>
  </si>
  <si>
    <t>CONSTRUCTION OF BREAK PRESSURE CHAMBER # (2.4×1.6×1.2m)</t>
  </si>
  <si>
    <t>3.1.5.1</t>
  </si>
  <si>
    <r>
      <t>m</t>
    </r>
    <r>
      <rPr>
        <vertAlign val="superscript"/>
        <sz val="12"/>
        <color theme="1"/>
        <rFont val="Garamond"/>
        <family val="1"/>
      </rPr>
      <t>3</t>
    </r>
  </si>
  <si>
    <t>3.1.5.2</t>
  </si>
  <si>
    <t>Hardcore (stones pitching) of 30 cm with voids full with cement and sand mortar mix of ratio 1 to 10 respectively, saturated with water</t>
  </si>
  <si>
    <t>3.1.5.3</t>
  </si>
  <si>
    <t>3.1.5.4</t>
  </si>
  <si>
    <t>Hydraulic reinforced concrete for the base</t>
  </si>
  <si>
    <t>3.1.5.5</t>
  </si>
  <si>
    <t>3.1.5.6</t>
  </si>
  <si>
    <t>Walling with stonework</t>
  </si>
  <si>
    <t>3.1.5.7</t>
  </si>
  <si>
    <t>Coating of the internal face of wall of the tank with 3 hydrafuges water proofing coats</t>
  </si>
  <si>
    <r>
      <t>m</t>
    </r>
    <r>
      <rPr>
        <vertAlign val="superscript"/>
        <sz val="12"/>
        <color theme="1"/>
        <rFont val="Garamond"/>
        <family val="1"/>
      </rPr>
      <t>2</t>
    </r>
    <r>
      <rPr>
        <sz val="10"/>
        <rFont val="Arial"/>
        <family val="2"/>
      </rPr>
      <t/>
    </r>
  </si>
  <si>
    <t>3.1.5.8</t>
  </si>
  <si>
    <r>
      <t>Coating of the internal side of wall of the inspection chamber with 3 layers of plaster of 300 kg/m</t>
    </r>
    <r>
      <rPr>
        <vertAlign val="superscript"/>
        <sz val="12"/>
        <color theme="1"/>
        <rFont val="Garamond"/>
        <family val="1"/>
      </rPr>
      <t>3</t>
    </r>
    <r>
      <rPr>
        <sz val="12"/>
        <color theme="1"/>
        <rFont val="Garamond"/>
        <family val="1"/>
      </rPr>
      <t xml:space="preserve"> ciment mixture</t>
    </r>
  </si>
  <si>
    <t>3.1.5.9</t>
  </si>
  <si>
    <t>Supply and coating the faces of the tank with 3 layers of "sikalatex" paint</t>
  </si>
  <si>
    <t>3.1.5.10</t>
  </si>
  <si>
    <t>3.1.5.11</t>
  </si>
  <si>
    <t>Supply and fix damp proof course between  the roof slab, the wall and the beam of support</t>
  </si>
  <si>
    <t>3.1.5.12</t>
  </si>
  <si>
    <t>Supply and fix of the metallic cover of 60 x 60 x 0.3cm with a ventilation shaft at the top and a mosquito screen</t>
  </si>
  <si>
    <t>3.1.5.13</t>
  </si>
  <si>
    <t>Supply a portable aluminium ladder, the step=25cm and total length = 3 meter.</t>
  </si>
  <si>
    <t>3.1.5.14</t>
  </si>
  <si>
    <t>Supply and installation of hydraulic equipment and Fittings for connection of break pressure</t>
  </si>
  <si>
    <t>3.1.6</t>
  </si>
  <si>
    <t>3.1.6.1</t>
  </si>
  <si>
    <t>3.1.6.2</t>
  </si>
  <si>
    <t>3.1.6.3</t>
  </si>
  <si>
    <t>3.1.6.4</t>
  </si>
  <si>
    <t>Water quality testing</t>
  </si>
  <si>
    <r>
      <t>Physical parameters</t>
    </r>
    <r>
      <rPr>
        <sz val="10"/>
        <color indexed="8"/>
        <rFont val="Arial"/>
        <family val="2"/>
      </rPr>
      <t>: Colour, Turbidity, Temperature, pH, Conductivity, Total Hardness (CaCO3), Total Alkalinity (CaCo3),Total Suspended Solids (TSS), Total Dissolved Solids (TDS)</t>
    </r>
  </si>
  <si>
    <r>
      <t xml:space="preserve"> </t>
    </r>
    <r>
      <rPr>
        <b/>
        <sz val="10"/>
        <color indexed="8"/>
        <rFont val="Arial"/>
        <family val="2"/>
      </rPr>
      <t>Chemical parameters:</t>
    </r>
    <r>
      <rPr>
        <sz val="10"/>
        <color indexed="8"/>
        <rFont val="Arial"/>
        <family val="2"/>
      </rPr>
      <t xml:space="preserve"> Calcium (Ca2+), Magnesium (Mg2+), Sodium ( Na+), Potassium (K+), Iron (Fe2+), Bicarbonates (HCO3-) Sulfates (SO42-),  Chlorides (Cl-), Nitrate (NO3),  Nitrites (NO2- ) Phosphates (PO4 3-), Ammonium (NH4+), Fluorides (F-)</t>
    </r>
  </si>
  <si>
    <r>
      <t xml:space="preserve">- </t>
    </r>
    <r>
      <rPr>
        <b/>
        <sz val="10"/>
        <color indexed="8"/>
        <rFont val="Arial"/>
        <family val="2"/>
      </rPr>
      <t>Bacteriological elements</t>
    </r>
    <r>
      <rPr>
        <sz val="10"/>
        <color indexed="8"/>
        <rFont val="Arial"/>
        <family val="2"/>
      </rPr>
      <t>: Total Coliforms, E. Coli and Faecal Coliform</t>
    </r>
  </si>
  <si>
    <t xml:space="preserve">S/Total </t>
  </si>
  <si>
    <t>Sub total 3.1</t>
  </si>
  <si>
    <t>RESERVOIRS</t>
  </si>
  <si>
    <t>3.2.1</t>
  </si>
  <si>
    <r>
      <t>Construction of 25 m</t>
    </r>
    <r>
      <rPr>
        <b/>
        <vertAlign val="superscript"/>
        <sz val="10"/>
        <rFont val="Arial"/>
        <family val="2"/>
      </rPr>
      <t>3</t>
    </r>
    <r>
      <rPr>
        <b/>
        <sz val="10"/>
        <rFont val="Arial"/>
        <family val="2"/>
      </rPr>
      <t xml:space="preserve"> capacity reservoir</t>
    </r>
  </si>
  <si>
    <t>3.2.1.1</t>
  </si>
  <si>
    <r>
      <t>m</t>
    </r>
    <r>
      <rPr>
        <vertAlign val="superscript"/>
        <sz val="10"/>
        <rFont val="Arial"/>
        <family val="2"/>
      </rPr>
      <t>3</t>
    </r>
  </si>
  <si>
    <t>3.2.1.2</t>
  </si>
  <si>
    <t>3.2.1.3</t>
  </si>
  <si>
    <t>3.2.1.4</t>
  </si>
  <si>
    <t>3.2.1.5</t>
  </si>
  <si>
    <t>3.2.1.6</t>
  </si>
  <si>
    <t>Walling with shapened hardcore, fair face and pointing in joints</t>
  </si>
  <si>
    <t>3.2.1.7</t>
  </si>
  <si>
    <r>
      <t>m</t>
    </r>
    <r>
      <rPr>
        <vertAlign val="superscript"/>
        <sz val="10"/>
        <rFont val="Arial"/>
        <family val="2"/>
      </rPr>
      <t>2</t>
    </r>
  </si>
  <si>
    <t>3.2.1.8</t>
  </si>
  <si>
    <t>Supply and coating the faces of the tank with 3 layers of "Sikalatex" paint</t>
  </si>
  <si>
    <t>3.2.1.9</t>
  </si>
  <si>
    <t>3.2.1.10</t>
  </si>
  <si>
    <t>3.2.1.11</t>
  </si>
  <si>
    <t>Supply and fix of the metallic cover of 80X80X0.3 cm  with a ventilation shaft at the top and a mosquito screen</t>
  </si>
  <si>
    <t>3.2.1.12</t>
  </si>
  <si>
    <t>INSPECTION CHAMBER</t>
  </si>
  <si>
    <t>3.2.1.13</t>
  </si>
  <si>
    <t>3.2.1.14</t>
  </si>
  <si>
    <t>3.2.1.15</t>
  </si>
  <si>
    <t>3.2.1.16</t>
  </si>
  <si>
    <t>3.2.1.17</t>
  </si>
  <si>
    <t>3.2.1.18</t>
  </si>
  <si>
    <t>3.2.1.19</t>
  </si>
  <si>
    <t>3.2.1.20</t>
  </si>
  <si>
    <t>3.2.1.21</t>
  </si>
  <si>
    <t>3.2.1.22</t>
  </si>
  <si>
    <t>3.2.1.23</t>
  </si>
  <si>
    <r>
      <t>Supply and installation of DI flanged hydraulic equipment and Fittings for connection of 25m</t>
    </r>
    <r>
      <rPr>
        <vertAlign val="superscript"/>
        <sz val="10"/>
        <rFont val="Arial"/>
        <family val="2"/>
      </rPr>
      <t>3</t>
    </r>
    <r>
      <rPr>
        <sz val="10"/>
        <rFont val="Arial"/>
        <family val="2"/>
      </rPr>
      <t xml:space="preserve"> reservoir </t>
    </r>
  </si>
  <si>
    <t>REJECTION WORK # (1.45×1.5×1m)</t>
  </si>
  <si>
    <t>3.2.1.24</t>
  </si>
  <si>
    <t>3.2.1.25</t>
  </si>
  <si>
    <t>Hardcore (stones pitching) of 20 cm with voids full with cement and sand mortar mix of ratio 1 to 10 respectively, saturated with water</t>
  </si>
  <si>
    <t>3.2.1.26</t>
  </si>
  <si>
    <t>3.2.1.27</t>
  </si>
  <si>
    <t>3.2.1.28</t>
  </si>
  <si>
    <t>Walling with fair face stones works and pointing the joint of external faces</t>
  </si>
  <si>
    <t>3.2.1.29</t>
  </si>
  <si>
    <r>
      <t>Coating of internal faces with plaster of 300 kg/m</t>
    </r>
    <r>
      <rPr>
        <vertAlign val="superscript"/>
        <sz val="10"/>
        <color theme="1"/>
        <rFont val="Arial"/>
        <family val="2"/>
      </rPr>
      <t>3</t>
    </r>
    <r>
      <rPr>
        <sz val="10"/>
        <color theme="1"/>
        <rFont val="Arial"/>
        <family val="2"/>
      </rPr>
      <t xml:space="preserve"> ciment mixture</t>
    </r>
  </si>
  <si>
    <t>3.2.1.30</t>
  </si>
  <si>
    <r>
      <t>Soakaway pit 1 m</t>
    </r>
    <r>
      <rPr>
        <vertAlign val="superscript"/>
        <sz val="10"/>
        <color indexed="8"/>
        <rFont val="Arial"/>
        <family val="2"/>
      </rPr>
      <t>3</t>
    </r>
    <r>
      <rPr>
        <sz val="10"/>
        <color indexed="8"/>
        <rFont val="Arial"/>
        <family val="2"/>
      </rPr>
      <t>, full of gravel and hardcore (stones pitching)</t>
    </r>
  </si>
  <si>
    <t>SUBTOTAL 3.2.1:</t>
  </si>
  <si>
    <t>SUBTOTAL 3.2:</t>
  </si>
  <si>
    <t>WATER POINTS</t>
  </si>
  <si>
    <t>3.3.1</t>
  </si>
  <si>
    <t>Construction of Water point with double taps for community</t>
  </si>
  <si>
    <t>3.3.1.1</t>
  </si>
  <si>
    <t>3.3.1.2</t>
  </si>
  <si>
    <t>3.3.1.3</t>
  </si>
  <si>
    <t>3.3.1.4</t>
  </si>
  <si>
    <t>3.3.1.5</t>
  </si>
  <si>
    <t>3.3.1.6</t>
  </si>
  <si>
    <t>3.3.1.7</t>
  </si>
  <si>
    <r>
      <t>Coating of walls with plaster of 300 kg/m</t>
    </r>
    <r>
      <rPr>
        <vertAlign val="superscript"/>
        <sz val="10"/>
        <color theme="1"/>
        <rFont val="Arial"/>
        <family val="2"/>
      </rPr>
      <t>3</t>
    </r>
  </si>
  <si>
    <t>3.3.1.8</t>
  </si>
  <si>
    <t>3.3.1.9</t>
  </si>
  <si>
    <t xml:space="preserve">Supply and fix the damp proof course between  the roof slab and the wall </t>
  </si>
  <si>
    <t>3.3.1.10</t>
  </si>
  <si>
    <t xml:space="preserve">Supply and fix of the metallic cover of 50X50X0.3 cm  </t>
  </si>
  <si>
    <t>3.3.1.11</t>
  </si>
  <si>
    <t>Supply and installation of all hydraulic equipment and Fittings including volumetric water meter with at least nominal flow rate of 1.5m3/h and max admissible pressure of 16 bar</t>
  </si>
  <si>
    <t>3.3.1.12</t>
  </si>
  <si>
    <r>
      <t>Soakaway pit 1 m</t>
    </r>
    <r>
      <rPr>
        <vertAlign val="superscript"/>
        <sz val="10"/>
        <color theme="1"/>
        <rFont val="Arial"/>
        <family val="2"/>
      </rPr>
      <t>3</t>
    </r>
    <r>
      <rPr>
        <sz val="10"/>
        <color theme="1"/>
        <rFont val="Arial"/>
        <family val="2"/>
      </rPr>
      <t>, full of gravel and hardcore (stones pitching)</t>
    </r>
  </si>
  <si>
    <t>Total for 10 Water taps</t>
  </si>
  <si>
    <t>3.3.2</t>
  </si>
  <si>
    <t>Construction of a water point with 3 taps for Schools</t>
  </si>
  <si>
    <t>3.3.2.1</t>
  </si>
  <si>
    <t>3.3.2.2</t>
  </si>
  <si>
    <t>Hardcore of 30 cm with a filling of  cement and sand mortar 1:10 mixture, saturated with water</t>
  </si>
  <si>
    <t>3.3.2.3</t>
  </si>
  <si>
    <t>3.3.2.4</t>
  </si>
  <si>
    <t>3.3.2.5</t>
  </si>
  <si>
    <t>3.3.2.6</t>
  </si>
  <si>
    <t>3.3.2.7</t>
  </si>
  <si>
    <r>
      <t>Coating of walls with plaster of 300 kg/m</t>
    </r>
    <r>
      <rPr>
        <vertAlign val="superscript"/>
        <sz val="10"/>
        <color theme="1"/>
        <rFont val="Arial"/>
        <family val="2"/>
      </rPr>
      <t>3</t>
    </r>
    <r>
      <rPr>
        <sz val="10"/>
        <color theme="1"/>
        <rFont val="Arial"/>
        <family val="2"/>
      </rPr>
      <t xml:space="preserve"> cement mixture</t>
    </r>
  </si>
  <si>
    <t>3.3.2.8</t>
  </si>
  <si>
    <t>3.3.2.9</t>
  </si>
  <si>
    <t>Supply and fix the damp proof course between  the roof slab and the walls</t>
  </si>
  <si>
    <t>3.3.2.10</t>
  </si>
  <si>
    <t xml:space="preserve">Supply and fix of the metallic cover of 50 x 50 x 0,3 cm </t>
  </si>
  <si>
    <t>3.3.2.11</t>
  </si>
  <si>
    <t>3.3.2.12</t>
  </si>
  <si>
    <t>Sub total 3.3.2:</t>
  </si>
  <si>
    <t>Sub total 1 waterpoint 3 taps 3.3.2:</t>
  </si>
  <si>
    <t>3.3.3</t>
  </si>
  <si>
    <t>Construction of the Kiosk with double taps</t>
  </si>
  <si>
    <t>3.3.3.1</t>
  </si>
  <si>
    <t>Preliminary works</t>
  </si>
  <si>
    <t>Cutting and filling for leveling</t>
  </si>
  <si>
    <t>3.3.3.2</t>
  </si>
  <si>
    <t>Foundation</t>
  </si>
  <si>
    <t>Excavation</t>
  </si>
  <si>
    <t>Blind concrete</t>
  </si>
  <si>
    <t>Masonry with stones for foundation</t>
  </si>
  <si>
    <t xml:space="preserve">Concrete for leveling  foundations </t>
  </si>
  <si>
    <r>
      <t>m</t>
    </r>
    <r>
      <rPr>
        <vertAlign val="superscript"/>
        <sz val="12"/>
        <color theme="1"/>
        <rFont val="Garamond"/>
        <family val="1"/>
      </rPr>
      <t>2</t>
    </r>
  </si>
  <si>
    <t xml:space="preserve">Damp proofing  against humidity </t>
  </si>
  <si>
    <t>3.3.3.3</t>
  </si>
  <si>
    <t xml:space="preserve">Masonary  </t>
  </si>
  <si>
    <t>Masonry in burnt bricks with external joints pointed</t>
  </si>
  <si>
    <t>Ventilator in concrete blocks</t>
  </si>
  <si>
    <t>3.3.3.4</t>
  </si>
  <si>
    <t>Concrete</t>
  </si>
  <si>
    <t>Ring beam in reinforced concrete</t>
  </si>
  <si>
    <t>3.3.3.5</t>
  </si>
  <si>
    <t>Roofing</t>
  </si>
  <si>
    <t>Wooden struts 100 X 50 X 5 (mm)</t>
  </si>
  <si>
    <t>Wooden purlins 40 X 40 X 3 (mm)</t>
  </si>
  <si>
    <t>Rafters in right angled triangle</t>
  </si>
  <si>
    <t>Facia board in wood</t>
  </si>
  <si>
    <t>Pile in metalic tubes 60 x 40 x 3 mm</t>
  </si>
  <si>
    <t>3.3.3.6</t>
  </si>
  <si>
    <t>Cover</t>
  </si>
  <si>
    <t>Cover of tile in blue prepainted autoportant</t>
  </si>
  <si>
    <t>3.3.3.7</t>
  </si>
  <si>
    <t>Shutters</t>
  </si>
  <si>
    <t>Metallic simple door semi glazed with burglar proofs</t>
  </si>
  <si>
    <t>Hardwood doors</t>
  </si>
  <si>
    <t>Glazed Metallic window  with burglar proofs 100X120 cm</t>
  </si>
  <si>
    <t>3.3.3.8</t>
  </si>
  <si>
    <t>Paving</t>
  </si>
  <si>
    <t>Floor  with smooth finish</t>
  </si>
  <si>
    <t>Splash apron and  water channel</t>
  </si>
  <si>
    <t>3.3.3.9</t>
  </si>
  <si>
    <t>Plastering</t>
  </si>
  <si>
    <t>Plastering of the interial walls</t>
  </si>
  <si>
    <t>Plinth</t>
  </si>
  <si>
    <t>3.3.3.10</t>
  </si>
  <si>
    <t>Ceiling to Eaves</t>
  </si>
  <si>
    <t>3.3.3.11</t>
  </si>
  <si>
    <t>Carten rail and box assembly</t>
  </si>
  <si>
    <t>3.3.3.12</t>
  </si>
  <si>
    <t>Paint</t>
  </si>
  <si>
    <t>Latex paints on walls</t>
  </si>
  <si>
    <t xml:space="preserve">Enamel paint </t>
  </si>
  <si>
    <t>Varnish on flash or solid timber doors</t>
  </si>
  <si>
    <t>Varnish on Eave ceiling</t>
  </si>
  <si>
    <t>3.3.3.13</t>
  </si>
  <si>
    <t>3.3.3.14</t>
  </si>
  <si>
    <t xml:space="preserve">Supply and installation of hydraulic equipment and Fittings including volumetric water meter with at least nominal flow rate of 1.5m3/h and max admissible pressure of 16 bar </t>
  </si>
  <si>
    <t>Sub total of BFK</t>
  </si>
  <si>
    <t>SUBTOTAL of 1 BFK:</t>
  </si>
  <si>
    <t>SUBTOTAL 3.3 of  WATER POINTS:</t>
  </si>
  <si>
    <t>SUBTOTAL DIVISION 3:</t>
  </si>
  <si>
    <t xml:space="preserve">REHABILITATION WORKS </t>
  </si>
  <si>
    <t>REHABILITATION OF CATCHMENT OF  SOURCES (Nyiramuhebe and Kanzogera)</t>
  </si>
  <si>
    <t>4.1.1</t>
  </si>
  <si>
    <t>Site clearance, removal of top vegetable soil, and site leveling or any shaping necessary</t>
  </si>
  <si>
    <t>4.1.2</t>
  </si>
  <si>
    <t>Earthwork , cut, fill and evacuation or overlay of the surplus soils, including all accruals</t>
  </si>
  <si>
    <t>4.1.3</t>
  </si>
  <si>
    <t>Increase in value for a hard and rock ground</t>
  </si>
  <si>
    <t>4.1.4</t>
  </si>
  <si>
    <t xml:space="preserve">Supply and fix  18m PVC strainer DE90 DN80 PN10 to 20 cm of the tablecloth and routing of water in pipe PVC DE75 DN60 PN10 of the strainer to the starting chamber at 45 m, including all accruals </t>
  </si>
  <si>
    <t>4.1.5</t>
  </si>
  <si>
    <t>Supply and fix rolled filitrant river gravel, well washed up to 60 cm height, including all accruals</t>
  </si>
  <si>
    <t>4.1.6</t>
  </si>
  <si>
    <t>Supply and fix plastic tight  sheet with the top of the gravel folded in 3 layers, including all accruals</t>
  </si>
  <si>
    <t>4.1.7</t>
  </si>
  <si>
    <t xml:space="preserve">Fill with clay for a tight layer  of 30 cm </t>
  </si>
  <si>
    <t>4.1.8</t>
  </si>
  <si>
    <t>Fill with fine grained soil to a layer of 15 cm on top of the clay, including all accruals</t>
  </si>
  <si>
    <t>4.1.9</t>
  </si>
  <si>
    <t>Fill with soils without roots and other organic matter by compacting each time layers of 20 cm up to the level of the original ground, including all accruals</t>
  </si>
  <si>
    <t>4.1.10</t>
  </si>
  <si>
    <t xml:space="preserve">Excavate a trench of protection of the source up to 80 cm depth. The bottom width 40 cm, including all accruals. </t>
  </si>
  <si>
    <t>4.1.11</t>
  </si>
  <si>
    <t>Retaining Wall in Stone masonry  for catchment area protection</t>
  </si>
  <si>
    <t>4.1.12</t>
  </si>
  <si>
    <t>Put in place a protective fence of quickset hedge in euphorbiums against animals, including all accruals</t>
  </si>
  <si>
    <t>4.1.13</t>
  </si>
  <si>
    <t>Plant passparum around the zone of harnessing, including all accruals</t>
  </si>
  <si>
    <t>Sub Total</t>
  </si>
  <si>
    <t>SUBTOTAL  of 2 sources:</t>
  </si>
  <si>
    <t xml:space="preserve">REHABILITATION OF STARTING AND COLLECTION CHAMBERS </t>
  </si>
  <si>
    <t>4.2.1</t>
  </si>
  <si>
    <t xml:space="preserve">Earthwork by cut, fill and evacuation or overlay of the surplus soils, including all accruals </t>
  </si>
  <si>
    <r>
      <t>m</t>
    </r>
    <r>
      <rPr>
        <vertAlign val="superscript"/>
        <sz val="10"/>
        <rFont val="Times New Roman"/>
        <family val="1"/>
      </rPr>
      <t>3</t>
    </r>
  </si>
  <si>
    <t>4.2.2</t>
  </si>
  <si>
    <t>Stripping or removal of old internal face of wall of chamber and external joints</t>
  </si>
  <si>
    <r>
      <t>m</t>
    </r>
    <r>
      <rPr>
        <vertAlign val="superscript"/>
        <sz val="10"/>
        <rFont val="Times New Roman"/>
        <family val="1"/>
      </rPr>
      <t>2</t>
    </r>
    <r>
      <rPr>
        <sz val="10"/>
        <rFont val="Arial"/>
        <family val="2"/>
      </rPr>
      <t/>
    </r>
  </si>
  <si>
    <t>4.2.3</t>
  </si>
  <si>
    <t>Repointing of external face of walls</t>
  </si>
  <si>
    <t>4.2.4</t>
  </si>
  <si>
    <t>Coating of the internal face of wall of the chamber with 3 hydrafuges water proofing coats</t>
  </si>
  <si>
    <t>4.2.5</t>
  </si>
  <si>
    <t>application of sikalatex later on internal surface after the impermeability test of the chamber</t>
  </si>
  <si>
    <t>4.2.6</t>
  </si>
  <si>
    <t>Supply and coating some external parts(cover,hydraulic connectios,..) of the chamber with 3 layers of "Epoxy" paint</t>
  </si>
  <si>
    <t>4.2.7</t>
  </si>
  <si>
    <t>4.2.8</t>
  </si>
  <si>
    <t xml:space="preserve">Supply and fix of the metallic cover of 60X60X0.3 cm  </t>
  </si>
  <si>
    <t>4.2.9</t>
  </si>
  <si>
    <t>Supply and fix hydraulic equipements</t>
  </si>
  <si>
    <t>ls</t>
  </si>
  <si>
    <t>S/ T</t>
  </si>
  <si>
    <t>SUBTOTAL  of  2 STARTING CHAMBERS:</t>
  </si>
  <si>
    <t>4.3.1</t>
  </si>
  <si>
    <t>4.3.2</t>
  </si>
  <si>
    <t>4.3.3</t>
  </si>
  <si>
    <t>4.3.4</t>
  </si>
  <si>
    <t>4.3.5</t>
  </si>
  <si>
    <t>4.3.6</t>
  </si>
  <si>
    <t>4.3.7</t>
  </si>
  <si>
    <t>SUBTOTAL  of  5 CHAMBERS:</t>
  </si>
  <si>
    <t xml:space="preserve">Partial Rehabilitation  of  Public tap stand </t>
  </si>
  <si>
    <t>4.4.1</t>
  </si>
  <si>
    <t>Stripping or removal of old face of wall</t>
  </si>
  <si>
    <r>
      <t>m</t>
    </r>
    <r>
      <rPr>
        <vertAlign val="superscript"/>
        <sz val="10"/>
        <rFont val="Times New Roman"/>
        <family val="1"/>
      </rPr>
      <t>2</t>
    </r>
  </si>
  <si>
    <t>4.4.2</t>
  </si>
  <si>
    <t>4.4.3</t>
  </si>
  <si>
    <t xml:space="preserve">construction of valve chamber for the tap </t>
  </si>
  <si>
    <t>4.4.4</t>
  </si>
  <si>
    <t>Soakaway pit 1 m3, full of gravel and hardcore (stones pitching)</t>
  </si>
  <si>
    <t>4.4.5</t>
  </si>
  <si>
    <t xml:space="preserve">Supply and fix hydraulic equipements including water meter </t>
  </si>
  <si>
    <t>SUBTOTAL  of  6Taps:</t>
  </si>
  <si>
    <t>SUBTOTAL DIVISION 4:</t>
  </si>
  <si>
    <t>GRAND TOTAL</t>
  </si>
  <si>
    <t xml:space="preserve">Construction of Ph regulation chamber 2.8mx2.2mx1.75m , external  dimensions( Refer to designs) </t>
  </si>
  <si>
    <t>Terracing, digging, cutting, excavation, backfilling, overlay of surplus soil and land remediation, including all accruals and site clearing after construction</t>
  </si>
  <si>
    <t>Hardcore (stones pitching) of 20 cm with a filling of 1:10 cement sand mortar mix, saturated with water</t>
  </si>
  <si>
    <t>Coating of the internal side of wall of the inspection chamber with 3 layers of plaster of 300 kg cement mixture</t>
  </si>
  <si>
    <t>m2</t>
  </si>
  <si>
    <t>Supply and fix damp proof course between the roof slab, the wall and the beam of support</t>
  </si>
  <si>
    <t>Supply and fix of the metallic cover of 60X60X0.3 cm with a ventilation shaft at the top and the mosquito screen</t>
  </si>
  <si>
    <t>Supply and fix an noncorrosive ladder for interior access embedded in the wall, painted with 3 layers of rust preventive paint, the step=25cm</t>
  </si>
  <si>
    <t>Supply and installation of hydraulic equipment</t>
  </si>
  <si>
    <t>Supply and Testing Calcite material (ex-limestone/travertine or dolomite)</t>
  </si>
  <si>
    <t>Supply of fine sand for the filtration chamber</t>
  </si>
  <si>
    <t>Supply of aggregate for the filtration chamber</t>
  </si>
  <si>
    <t>pH regulator testing and water quality testing for each water tanks and at least for each water tap served by one water tank</t>
  </si>
  <si>
    <t>S/Total PH regulator</t>
  </si>
  <si>
    <t>Air vent  #(1.6×1.6×1.2m)(Located Nyamirambo village, Muyunzwe cell)</t>
  </si>
  <si>
    <t>Washout #(1.6×1.6×1.2m)( All located in Nyamirambo village, Muyunzwe cell)</t>
  </si>
  <si>
    <t xml:space="preserve">CONSTRUCTION OF A RESERVOIR OF 10 M3 CAPACITY </t>
  </si>
  <si>
    <r>
      <t>m</t>
    </r>
    <r>
      <rPr>
        <vertAlign val="superscript"/>
        <sz val="12"/>
        <color indexed="8"/>
        <rFont val="Garamond"/>
        <family val="1"/>
      </rPr>
      <t>3</t>
    </r>
  </si>
  <si>
    <r>
      <t>m</t>
    </r>
    <r>
      <rPr>
        <vertAlign val="superscript"/>
        <sz val="12"/>
        <color indexed="8"/>
        <rFont val="Garamond"/>
        <family val="1"/>
      </rPr>
      <t>2</t>
    </r>
  </si>
  <si>
    <t>Supply and fix of the metallic cover of 80 x 80 x 0.3 cm with a ventilation shaft at the top and a mosquito screen</t>
  </si>
  <si>
    <t>Supply and Installation of Almnium ladder (Inox ladder) for access</t>
  </si>
  <si>
    <t>INSPECTION CHAMBER # (2×1.6×1m)</t>
  </si>
  <si>
    <r>
      <t>Coating of the internal side of wall of the inspection chamber with plaster of 300 kg/m</t>
    </r>
    <r>
      <rPr>
        <vertAlign val="superscript"/>
        <sz val="12"/>
        <color indexed="8"/>
        <rFont val="Garamond"/>
        <family val="1"/>
      </rPr>
      <t>3</t>
    </r>
    <r>
      <rPr>
        <sz val="12"/>
        <color indexed="8"/>
        <rFont val="Garamond"/>
        <family val="1"/>
      </rPr>
      <t xml:space="preserve"> ciment mixture</t>
    </r>
  </si>
  <si>
    <t>Supply and fix the damp proof course between the roof slab and the wall</t>
  </si>
  <si>
    <t>Supply a portable aluminium ladder for interior access embedded in the wall, painted with 3 layers of rust preventive paint, the step=25cm</t>
  </si>
  <si>
    <t>Supply and installation of Flanged hydraulic equipment &amp; Fittings and DI pipes for connection of chamber according to the client instruction</t>
  </si>
  <si>
    <t xml:space="preserve">REJECTION WORK # </t>
  </si>
  <si>
    <t>Hardcore (Stones pitching) of 20 cm with a filling of 1:10 cement sand mortar mix, saturated with water</t>
  </si>
  <si>
    <t xml:space="preserve">Masonry walls in hardcore, with fair face pointed at the joints </t>
  </si>
  <si>
    <r>
      <t>Coating of walls with plaster of 300 kg/m</t>
    </r>
    <r>
      <rPr>
        <vertAlign val="superscript"/>
        <sz val="12"/>
        <color indexed="8"/>
        <rFont val="Garamond"/>
        <family val="1"/>
      </rPr>
      <t xml:space="preserve">3 </t>
    </r>
    <r>
      <rPr>
        <sz val="12"/>
        <color indexed="8"/>
        <rFont val="Garamond"/>
        <family val="1"/>
      </rPr>
      <t>cement mixture</t>
    </r>
  </si>
  <si>
    <r>
      <t>Soakaway pit 1 m</t>
    </r>
    <r>
      <rPr>
        <vertAlign val="superscript"/>
        <sz val="12"/>
        <color indexed="8"/>
        <rFont val="Garamond"/>
        <family val="1"/>
      </rPr>
      <t>3</t>
    </r>
    <r>
      <rPr>
        <sz val="12"/>
        <color indexed="8"/>
        <rFont val="Garamond"/>
        <family val="1"/>
      </rPr>
      <t>, full of gravel and hardcore (stones pitching)</t>
    </r>
  </si>
  <si>
    <t>3.2.2</t>
  </si>
  <si>
    <t>3.2.2.1</t>
  </si>
  <si>
    <t>3.2.2.2</t>
  </si>
  <si>
    <t>3.2.2.3</t>
  </si>
  <si>
    <t>3.2.2.4</t>
  </si>
  <si>
    <t>3.2.2.5</t>
  </si>
  <si>
    <t>3.2.2.6</t>
  </si>
  <si>
    <t>3.2.2.7</t>
  </si>
  <si>
    <t>3.2.2.8</t>
  </si>
  <si>
    <t>3.2.2.9</t>
  </si>
  <si>
    <t>3.2.2.10</t>
  </si>
  <si>
    <t>3.2.2.11</t>
  </si>
  <si>
    <t>3.2.2.12</t>
  </si>
  <si>
    <t>3.2.2.13</t>
  </si>
  <si>
    <t>3.2.2.14</t>
  </si>
  <si>
    <t>3.2.2.15</t>
  </si>
  <si>
    <t>3.2.2.16</t>
  </si>
  <si>
    <t>3.2.2.17</t>
  </si>
  <si>
    <t>3.2.2.18</t>
  </si>
  <si>
    <t>3.2.2.19</t>
  </si>
  <si>
    <t>3.2.2.20</t>
  </si>
  <si>
    <t>3.2.2.21</t>
  </si>
  <si>
    <t>3.2.2.22</t>
  </si>
  <si>
    <t>3.2.2.23</t>
  </si>
  <si>
    <t>3.2.2.24</t>
  </si>
  <si>
    <t>3.2.2.25</t>
  </si>
  <si>
    <t>3.2.2.26</t>
  </si>
  <si>
    <t>3.2.2.27</t>
  </si>
  <si>
    <t>3.2.2.28</t>
  </si>
  <si>
    <t>3.2.2.29</t>
  </si>
  <si>
    <t>3.2.2.30</t>
  </si>
  <si>
    <t>SUBTOTAL 3.2.2:</t>
  </si>
  <si>
    <t>SUBTOTAL of 2 Washout</t>
  </si>
  <si>
    <t>CONSTRUCTION OF SECTION  VALVE BRANCHES CHAMBERS  # (1.8×1.8×1.2m) 
(Located in Gasharu, Nyarubumbiro, Nyamirambo, Muyunzwe, Ruhuha,and Gasiza villages)</t>
  </si>
  <si>
    <t>Partial rehabilitation  of chamber (Valve ,Washout  and Air vent )
(Located in Muyunzwe, Nyamirambo villages)</t>
  </si>
  <si>
    <t>NYIRAMUHEBE-KANZOGERA-MUYUNZWE DRINKING WATER SUPPLY SYSTEM IN KINIHIRA SECTOR OF RUHANGO DISTRICT  
(Total Length 10.94km with 2.68Km Extension)</t>
  </si>
  <si>
    <t>VAT(18%)</t>
  </si>
  <si>
    <t>GRAND TOTAL( TAX INCLUSIVE)</t>
  </si>
  <si>
    <t>Sub total 3.3.1:</t>
  </si>
  <si>
    <t>Blind concrete 1:3:6 Cement Sand Aggregate, thickness 5 cm</t>
  </si>
  <si>
    <t>Reinforced concrete for base slab  ,1:2:4 Cement Sand Aggregate</t>
  </si>
  <si>
    <t>Reinforced concrete for roof slab ,1:2:4 Cement Sand Aggregate</t>
  </si>
  <si>
    <t>Walls in stones masonry jointed with a mortar of  1:4 Cement Sand Mix</t>
  </si>
  <si>
    <t>Plaster on the upper side of roof slab with a rough mortar of 1:4 Cement Sand Mix</t>
  </si>
  <si>
    <t>Plaster on the upper side of roof slab with a rough mortar of  1:2 Cement Sand Mix</t>
  </si>
  <si>
    <t>Reinforced concrete for base slab and  roof slab ,1:2:4 Cement Sand Aggregate</t>
  </si>
  <si>
    <t>Lateral walls in stones masonry jointed with a mortar   of  1:4 Cement Sand Mix</t>
  </si>
  <si>
    <t>Plaster on upper side of the slab with a rough mortar of  1:2 Cement Sand Mix</t>
  </si>
  <si>
    <t>Internal walls in in stones masonry jointed with a mortar of 1:4 Cement Sand Mix</t>
  </si>
  <si>
    <t>Plaster on upper side of the slab with a rough mortar of 1:2 Cement Sand Mix</t>
  </si>
  <si>
    <t>Reinforced concrete for roof slab,columns  and beams ,1:2:4 Cement Sand Aggregate</t>
  </si>
  <si>
    <t>Plaster on the upper side of roof slab with a rough mortar 1:2 Cement Sand</t>
  </si>
  <si>
    <t>Lateral walls in stones masonry jointed with a mortar of 1:3 Cement Sand</t>
  </si>
  <si>
    <t>Plaster on upper side of the slab with a rough mortar 1:2 Cement Sand</t>
  </si>
  <si>
    <t>Hydraulic reinforced concrete for the base 1:2:4 Cement Sand Aggregate</t>
  </si>
  <si>
    <t>Reinforced concrete for roof slab and beams ,1:2:4 Cement Sand Aggregate</t>
  </si>
  <si>
    <t>Reinforced concrete 1:2:4 Cement Sand Aggregate, for base slab</t>
  </si>
  <si>
    <t>Reinforced concrete for roof slab  ,1:2:4 Cement Sand Aggregate</t>
  </si>
  <si>
    <t xml:space="preserve">walls in stones masonry jointed with a mortar of 1:3 Cement Sand </t>
  </si>
  <si>
    <t xml:space="preserve">Plaster on the upper side of roof slab with a rough mortar of 1:3 Cement Sand </t>
  </si>
  <si>
    <t>Reinforced concrete for roof of slab on watermeter chamber, 1:2:4 Cement Sand Aggregate</t>
  </si>
  <si>
    <t xml:space="preserve">walls in stones masonry with fair face jointed with a mortar of 1:3 Cement Sand </t>
  </si>
  <si>
    <t xml:space="preserve">Plaster on the upper side of roof slab with a rough mortar of 1:2 Cement Sand </t>
  </si>
  <si>
    <t>Coating of walls with 3 layers of plaster of  1:2 Cement Sand</t>
  </si>
  <si>
    <r>
      <t>TOTAL OF 2R 10 m</t>
    </r>
    <r>
      <rPr>
        <b/>
        <vertAlign val="superscript"/>
        <sz val="12"/>
        <color indexed="8"/>
        <rFont val="Garamond"/>
        <family val="1"/>
      </rPr>
      <t>3</t>
    </r>
  </si>
  <si>
    <r>
      <t>SUBTOTAL OF 3 Res. 25m</t>
    </r>
    <r>
      <rPr>
        <b/>
        <vertAlign val="superscript"/>
        <sz val="10"/>
        <rFont val="Arial"/>
        <family val="2"/>
      </rPr>
      <t>3</t>
    </r>
  </si>
  <si>
    <t>Coating of the internal face of wall of the inspection chamber with 3 layers of plaster of 300 kg/m3</t>
  </si>
  <si>
    <r>
      <rPr>
        <b/>
        <sz val="10"/>
        <color theme="1"/>
        <rFont val="Arial"/>
        <family val="2"/>
      </rPr>
      <t xml:space="preserve">Trace elements: </t>
    </r>
    <r>
      <rPr>
        <sz val="10"/>
        <color theme="1"/>
        <rFont val="Arial"/>
        <family val="2"/>
      </rPr>
      <t>Aluminium (Al), Antimony (Sb),  Cyanide (HCN – CN), Iron (Fe), Lead (Pb),  Manganese (Mn), Mercury (Hg), Copper(Cu), Arsenic (As)</t>
    </r>
  </si>
  <si>
    <r>
      <t>Soakaway pit 1.5 m</t>
    </r>
    <r>
      <rPr>
        <vertAlign val="superscript"/>
        <sz val="12"/>
        <color theme="1"/>
        <rFont val="Garamond"/>
        <family val="1"/>
      </rPr>
      <t>3</t>
    </r>
    <r>
      <rPr>
        <sz val="12"/>
        <color theme="1"/>
        <rFont val="Garamond"/>
        <family val="1"/>
      </rPr>
      <t>, full of gravel and hardcore covered by concrete slabs for the acquisition of water that has not entered in jerrycans</t>
    </r>
  </si>
  <si>
    <t>3.1.4</t>
  </si>
  <si>
    <t>3.1.4.12</t>
  </si>
  <si>
    <t>3.1.4.13</t>
  </si>
  <si>
    <t>3.1.4.14</t>
  </si>
  <si>
    <t>SUBTOTAL 3.1.4</t>
  </si>
  <si>
    <t>SUBTOTAL 3.1.4 (For 2 BREAK PRESSURE)</t>
  </si>
  <si>
    <t>3.1.5.15</t>
  </si>
  <si>
    <t>3.1.5.16</t>
  </si>
  <si>
    <t xml:space="preserve">SUBTOTAL 3.1.5 </t>
  </si>
  <si>
    <t>SUBTOTAL 3.1.5 (For 2pH Regulators)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</si>
</sst>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 _€"/>
  </numFmts>
  <fonts count="36"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Arial"/>
      <family val="2"/>
    </font>
    <font>
      <sz val="10"/>
      <color theme="0"/>
      <name val="Arial"/>
      <family val="2"/>
    </font>
    <font>
      <b/>
      <sz val="10"/>
      <color theme="1"/>
      <name val="Arial"/>
      <family val="2"/>
    </font>
    <font>
      <b/>
      <i/>
      <sz val="10"/>
      <color theme="1"/>
      <name val="Arial"/>
      <family val="2"/>
    </font>
    <font>
      <i/>
      <sz val="10"/>
      <color theme="1"/>
      <name val="Arial"/>
      <family val="2"/>
    </font>
    <font>
      <sz val="12"/>
      <color theme="0"/>
      <name val="Cambria"/>
      <family val="1"/>
    </font>
    <font>
      <sz val="12"/>
      <name val="Cambria"/>
      <family val="1"/>
    </font>
    <font>
      <sz val="12"/>
      <color theme="1"/>
      <name val="Cambria"/>
      <family val="1"/>
    </font>
    <font>
      <sz val="12"/>
      <name val="Times New Roman"/>
      <family val="1"/>
    </font>
    <font>
      <vertAlign val="superscript"/>
      <sz val="10"/>
      <color theme="1"/>
      <name val="Arial"/>
      <family val="2"/>
    </font>
    <font>
      <b/>
      <sz val="12"/>
      <color theme="1"/>
      <name val="Times New Roman"/>
      <family val="1"/>
    </font>
    <font>
      <b/>
      <sz val="12"/>
      <name val="Times New Roman"/>
      <family val="1"/>
    </font>
    <font>
      <sz val="12"/>
      <color theme="1"/>
      <name val="Times New Roman"/>
      <family val="1"/>
    </font>
    <font>
      <vertAlign val="superscript"/>
      <sz val="12"/>
      <name val="Times New Roman"/>
      <family val="1"/>
    </font>
    <font>
      <sz val="11"/>
      <color theme="1"/>
      <name val="Times New Roman"/>
      <family val="1"/>
    </font>
    <font>
      <sz val="12"/>
      <color theme="1"/>
      <name val="Garamond"/>
      <family val="1"/>
    </font>
    <font>
      <vertAlign val="superscript"/>
      <sz val="12"/>
      <color theme="1"/>
      <name val="Garamond"/>
      <family val="1"/>
    </font>
    <font>
      <b/>
      <sz val="12"/>
      <color theme="1"/>
      <name val="Garamond"/>
      <family val="1"/>
    </font>
    <font>
      <sz val="10"/>
      <color indexed="8"/>
      <name val="Arial"/>
      <family val="2"/>
    </font>
    <font>
      <b/>
      <sz val="10"/>
      <color indexed="8"/>
      <name val="Arial"/>
      <family val="2"/>
    </font>
    <font>
      <b/>
      <vertAlign val="superscript"/>
      <sz val="10"/>
      <name val="Arial"/>
      <family val="2"/>
    </font>
    <font>
      <vertAlign val="superscript"/>
      <sz val="10"/>
      <name val="Arial"/>
      <family val="2"/>
    </font>
    <font>
      <vertAlign val="superscript"/>
      <sz val="10"/>
      <color indexed="8"/>
      <name val="Arial"/>
      <family val="2"/>
    </font>
    <font>
      <b/>
      <sz val="12"/>
      <name val="Garamond"/>
      <family val="1"/>
    </font>
    <font>
      <sz val="12"/>
      <name val="Garamond"/>
      <family val="1"/>
    </font>
    <font>
      <sz val="10"/>
      <name val="Times New Roman"/>
      <family val="1"/>
    </font>
    <font>
      <vertAlign val="superscript"/>
      <sz val="10"/>
      <name val="Times New Roman"/>
      <family val="1"/>
    </font>
    <font>
      <b/>
      <sz val="11"/>
      <color theme="1"/>
      <name val="Times New Roman"/>
      <family val="1"/>
    </font>
    <font>
      <vertAlign val="superscript"/>
      <sz val="12"/>
      <color indexed="8"/>
      <name val="Garamond"/>
      <family val="1"/>
    </font>
    <font>
      <sz val="12"/>
      <color indexed="8"/>
      <name val="Garamond"/>
      <family val="1"/>
    </font>
    <font>
      <b/>
      <vertAlign val="superscript"/>
      <sz val="12"/>
      <color indexed="8"/>
      <name val="Garamond"/>
      <family val="1"/>
    </font>
    <font>
      <i/>
      <sz val="12"/>
      <color theme="1"/>
      <name val="Times New Roman"/>
      <family val="1"/>
    </font>
  </fonts>
  <fills count="14">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FC000"/>
        <bgColor indexed="64"/>
      </patternFill>
    </fill>
    <fill>
      <patternFill patternType="solid">
        <fgColor theme="0" tint="-0.34998626667073579"/>
        <bgColor indexed="64"/>
      </patternFill>
    </fill>
    <fill>
      <patternFill patternType="solid">
        <fgColor rgb="FF00B050"/>
        <bgColor indexed="64"/>
      </patternFill>
    </fill>
    <fill>
      <patternFill patternType="solid">
        <fgColor theme="8" tint="0.59999389629810485"/>
        <bgColor indexed="64"/>
      </patternFill>
    </fill>
    <fill>
      <patternFill patternType="solid">
        <fgColor theme="9" tint="0.39997558519241921"/>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0" fontId="1" fillId="0" borderId="0"/>
    <xf numFmtId="0" fontId="1" fillId="0" borderId="0"/>
  </cellStyleXfs>
  <cellXfs count="297">
    <xf numFmtId="0" fontId="0" fillId="0" borderId="0" xfId="0"/>
    <xf numFmtId="164" fontId="10" fillId="0" borderId="7" xfId="1" applyNumberFormat="1" applyFont="1" applyFill="1" applyBorder="1" applyAlignment="1" applyProtection="1">
      <alignment horizontal="right" vertical="center"/>
      <protection locked="0"/>
    </xf>
    <xf numFmtId="0" fontId="4" fillId="2" borderId="7" xfId="0" applyFont="1" applyFill="1" applyBorder="1" applyAlignment="1" applyProtection="1">
      <alignment vertical="center" wrapText="1"/>
      <protection locked="0"/>
    </xf>
    <xf numFmtId="0" fontId="2" fillId="0" borderId="1" xfId="0" applyFont="1" applyBorder="1" applyAlignment="1" applyProtection="1">
      <alignment horizontal="righ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horizontal="center" vertical="center"/>
      <protection locked="0"/>
    </xf>
    <xf numFmtId="43" fontId="2" fillId="0" borderId="0" xfId="1" applyFont="1" applyBorder="1" applyAlignment="1" applyProtection="1">
      <alignment horizontal="center" vertical="center"/>
      <protection locked="0"/>
    </xf>
    <xf numFmtId="164" fontId="2" fillId="0" borderId="0" xfId="1" applyNumberFormat="1" applyFont="1" applyBorder="1" applyAlignment="1" applyProtection="1">
      <alignment horizontal="right" vertical="center"/>
      <protection locked="0"/>
    </xf>
    <xf numFmtId="164" fontId="2" fillId="0" borderId="2" xfId="1" applyNumberFormat="1" applyFont="1" applyBorder="1" applyAlignment="1" applyProtection="1">
      <alignment horizontal="right" vertical="center"/>
      <protection locked="0"/>
    </xf>
    <xf numFmtId="0" fontId="4" fillId="0" borderId="0" xfId="0" applyFont="1" applyAlignment="1" applyProtection="1">
      <alignment vertical="center"/>
      <protection locked="0"/>
    </xf>
    <xf numFmtId="0" fontId="2" fillId="0" borderId="0" xfId="0" applyFont="1" applyAlignment="1" applyProtection="1">
      <alignment horizontal="justify" vertical="center" wrapText="1"/>
      <protection locked="0"/>
    </xf>
    <xf numFmtId="0" fontId="2" fillId="2" borderId="0" xfId="0" applyFont="1" applyFill="1" applyAlignment="1" applyProtection="1">
      <alignment horizontal="center" vertical="center"/>
      <protection locked="0"/>
    </xf>
    <xf numFmtId="43" fontId="2" fillId="2" borderId="0" xfId="1" applyFont="1" applyFill="1" applyBorder="1" applyAlignment="1" applyProtection="1">
      <alignment vertical="center"/>
      <protection locked="0"/>
    </xf>
    <xf numFmtId="164" fontId="2" fillId="2" borderId="0" xfId="1" applyNumberFormat="1" applyFont="1" applyFill="1" applyBorder="1" applyAlignment="1" applyProtection="1">
      <alignment vertical="center"/>
      <protection locked="0"/>
    </xf>
    <xf numFmtId="164" fontId="2" fillId="2" borderId="2" xfId="1" applyNumberFormat="1" applyFont="1" applyFill="1" applyBorder="1" applyAlignment="1" applyProtection="1">
      <alignment vertical="center"/>
      <protection locked="0"/>
    </xf>
    <xf numFmtId="0" fontId="2" fillId="0" borderId="0" xfId="0" applyFont="1" applyAlignment="1" applyProtection="1">
      <alignment horizontal="left" vertical="center" wrapText="1"/>
      <protection locked="0"/>
    </xf>
    <xf numFmtId="43" fontId="2" fillId="2" borderId="0" xfId="1" applyFont="1" applyFill="1" applyBorder="1" applyAlignment="1" applyProtection="1">
      <alignment horizontal="left" vertical="center"/>
      <protection locked="0"/>
    </xf>
    <xf numFmtId="164" fontId="2" fillId="2" borderId="0" xfId="1" applyNumberFormat="1" applyFont="1" applyFill="1" applyBorder="1" applyAlignment="1" applyProtection="1">
      <alignment horizontal="left" vertical="center"/>
      <protection locked="0"/>
    </xf>
    <xf numFmtId="164" fontId="2" fillId="2" borderId="2" xfId="1" applyNumberFormat="1" applyFont="1" applyFill="1" applyBorder="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5" fillId="0" borderId="0" xfId="0" applyFont="1" applyAlignment="1" applyProtection="1">
      <alignment vertical="center" wrapText="1"/>
      <protection locked="0"/>
    </xf>
    <xf numFmtId="0" fontId="5" fillId="0" borderId="0" xfId="0" applyFont="1" applyAlignment="1" applyProtection="1">
      <alignment horizontal="center" vertical="center"/>
      <protection locked="0"/>
    </xf>
    <xf numFmtId="43" fontId="5" fillId="0" borderId="0" xfId="1" applyFont="1" applyBorder="1" applyAlignment="1" applyProtection="1">
      <alignment vertical="center"/>
      <protection locked="0"/>
    </xf>
    <xf numFmtId="164" fontId="5" fillId="0" borderId="0" xfId="1" applyNumberFormat="1" applyFont="1" applyBorder="1" applyAlignment="1" applyProtection="1">
      <alignment horizontal="center" vertical="center"/>
      <protection locked="0"/>
    </xf>
    <xf numFmtId="164" fontId="5" fillId="0" borderId="2" xfId="1" applyNumberFormat="1" applyFont="1" applyBorder="1" applyAlignment="1" applyProtection="1">
      <alignment horizontal="center" vertical="center"/>
      <protection locked="0"/>
    </xf>
    <xf numFmtId="0" fontId="5" fillId="0" borderId="0" xfId="0" applyFont="1" applyAlignment="1" applyProtection="1">
      <alignment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left" vertical="center" wrapText="1"/>
      <protection locked="0"/>
    </xf>
    <xf numFmtId="0" fontId="6" fillId="0" borderId="7" xfId="0" applyFont="1" applyBorder="1" applyAlignment="1" applyProtection="1">
      <alignment horizontal="center" vertical="center"/>
      <protection locked="0"/>
    </xf>
    <xf numFmtId="43" fontId="6" fillId="0" borderId="7" xfId="1" applyFont="1" applyBorder="1" applyAlignment="1" applyProtection="1">
      <alignment horizontal="center" vertical="center"/>
      <protection locked="0"/>
    </xf>
    <xf numFmtId="164" fontId="6" fillId="0" borderId="7" xfId="1" applyNumberFormat="1" applyFont="1" applyBorder="1" applyAlignment="1" applyProtection="1">
      <alignment horizontal="center" vertical="center"/>
      <protection locked="0"/>
    </xf>
    <xf numFmtId="164" fontId="6" fillId="0" borderId="8" xfId="1" applyNumberFormat="1" applyFont="1" applyBorder="1" applyAlignment="1" applyProtection="1">
      <alignment horizontal="center" vertical="center"/>
      <protection locked="0"/>
    </xf>
    <xf numFmtId="0" fontId="6" fillId="0" borderId="7" xfId="0" applyFont="1" applyBorder="1" applyAlignment="1" applyProtection="1">
      <alignment horizontal="center" vertical="center" wrapText="1"/>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vertical="center" wrapText="1"/>
      <protection locked="0"/>
    </xf>
    <xf numFmtId="0" fontId="4" fillId="4" borderId="7" xfId="0" applyFont="1" applyFill="1" applyBorder="1" applyAlignment="1" applyProtection="1">
      <alignment horizontal="center" vertical="center"/>
      <protection locked="0"/>
    </xf>
    <xf numFmtId="43" fontId="4" fillId="4" borderId="7" xfId="1" applyFont="1" applyFill="1" applyBorder="1" applyAlignment="1" applyProtection="1">
      <alignment horizontal="center" vertical="center"/>
      <protection locked="0"/>
    </xf>
    <xf numFmtId="164" fontId="4" fillId="4" borderId="7" xfId="1" applyNumberFormat="1" applyFont="1" applyFill="1" applyBorder="1" applyAlignment="1" applyProtection="1">
      <alignment horizontal="center" vertical="center"/>
      <protection locked="0"/>
    </xf>
    <xf numFmtId="164" fontId="6" fillId="4" borderId="8" xfId="1" applyNumberFormat="1" applyFont="1" applyFill="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7" xfId="2" applyFont="1" applyBorder="1" applyAlignment="1" applyProtection="1">
      <alignment vertical="center" wrapText="1"/>
      <protection locked="0"/>
    </xf>
    <xf numFmtId="164" fontId="4" fillId="0" borderId="7" xfId="1" applyNumberFormat="1" applyFont="1" applyBorder="1" applyAlignment="1" applyProtection="1">
      <alignment horizontal="center" vertical="center"/>
      <protection locked="0"/>
    </xf>
    <xf numFmtId="164" fontId="4" fillId="0" borderId="0" xfId="0" applyNumberFormat="1" applyFont="1" applyAlignment="1" applyProtection="1">
      <alignment vertical="center"/>
      <protection locked="0"/>
    </xf>
    <xf numFmtId="164" fontId="4" fillId="2" borderId="7" xfId="1" applyNumberFormat="1" applyFont="1" applyFill="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vertical="center" wrapText="1"/>
      <protection locked="0"/>
    </xf>
    <xf numFmtId="0" fontId="4" fillId="0" borderId="10" xfId="0" applyFont="1" applyBorder="1" applyAlignment="1" applyProtection="1">
      <alignment horizontal="center" vertical="center"/>
      <protection locked="0"/>
    </xf>
    <xf numFmtId="164" fontId="4" fillId="0" borderId="11" xfId="1" applyNumberFormat="1" applyFont="1" applyBorder="1" applyAlignment="1" applyProtection="1">
      <alignment horizontal="center" vertical="center"/>
      <protection locked="0"/>
    </xf>
    <xf numFmtId="0" fontId="4" fillId="5" borderId="12" xfId="0" applyFont="1" applyFill="1" applyBorder="1" applyAlignment="1" applyProtection="1">
      <alignment horizontal="center" vertical="center"/>
      <protection locked="0"/>
    </xf>
    <xf numFmtId="0" fontId="6" fillId="5" borderId="13" xfId="0" applyFont="1" applyFill="1" applyBorder="1" applyAlignment="1" applyProtection="1">
      <alignment vertical="center" wrapText="1"/>
      <protection locked="0"/>
    </xf>
    <xf numFmtId="0" fontId="4" fillId="5" borderId="13" xfId="0" applyFont="1" applyFill="1" applyBorder="1" applyAlignment="1" applyProtection="1">
      <alignment horizontal="center" vertical="center"/>
      <protection locked="0"/>
    </xf>
    <xf numFmtId="164" fontId="4" fillId="5" borderId="13" xfId="1" applyNumberFormat="1" applyFont="1" applyFill="1" applyBorder="1" applyAlignment="1" applyProtection="1">
      <alignment horizontal="center" vertical="center"/>
      <protection locked="0"/>
    </xf>
    <xf numFmtId="164" fontId="6" fillId="5" borderId="8" xfId="1" applyNumberFormat="1" applyFont="1" applyFill="1" applyBorder="1" applyAlignment="1" applyProtection="1">
      <alignment horizontal="center" vertical="center"/>
      <protection locked="0"/>
    </xf>
    <xf numFmtId="0" fontId="4" fillId="2" borderId="1" xfId="0" applyFont="1" applyFill="1" applyBorder="1" applyAlignment="1" applyProtection="1">
      <alignment vertical="center"/>
      <protection locked="0"/>
    </xf>
    <xf numFmtId="0" fontId="3" fillId="2" borderId="0" xfId="0" applyFont="1" applyFill="1" applyAlignment="1" applyProtection="1">
      <alignment vertical="center" wrapText="1"/>
      <protection locked="0"/>
    </xf>
    <xf numFmtId="0" fontId="3" fillId="2" borderId="0" xfId="0" applyFont="1" applyFill="1" applyAlignment="1" applyProtection="1">
      <alignment horizontal="center" vertical="center" wrapText="1"/>
      <protection locked="0"/>
    </xf>
    <xf numFmtId="164" fontId="3" fillId="2" borderId="0" xfId="1" applyNumberFormat="1" applyFont="1" applyFill="1" applyBorder="1" applyAlignment="1" applyProtection="1">
      <alignment vertical="center" wrapText="1"/>
      <protection locked="0"/>
    </xf>
    <xf numFmtId="164" fontId="3" fillId="2" borderId="2" xfId="1" applyNumberFormat="1" applyFont="1" applyFill="1" applyBorder="1" applyAlignment="1" applyProtection="1">
      <alignment vertical="center" wrapText="1"/>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vertical="center" wrapText="1"/>
      <protection locked="0"/>
    </xf>
    <xf numFmtId="0" fontId="8" fillId="0" borderId="7" xfId="0" applyFont="1" applyBorder="1" applyAlignment="1" applyProtection="1">
      <alignment horizontal="center" vertical="center"/>
      <protection locked="0"/>
    </xf>
    <xf numFmtId="164" fontId="8" fillId="0" borderId="7" xfId="1" applyNumberFormat="1" applyFont="1" applyFill="1" applyBorder="1" applyAlignment="1" applyProtection="1">
      <alignment horizontal="center" vertical="center"/>
      <protection locked="0"/>
    </xf>
    <xf numFmtId="164" fontId="8" fillId="0" borderId="8" xfId="1" applyNumberFormat="1" applyFont="1" applyFill="1" applyBorder="1" applyAlignment="1" applyProtection="1">
      <alignment horizontal="center" vertical="center"/>
      <protection locked="0"/>
    </xf>
    <xf numFmtId="0" fontId="6" fillId="0" borderId="7" xfId="0" applyFont="1" applyBorder="1" applyAlignment="1" applyProtection="1">
      <alignment vertical="center" wrapText="1"/>
      <protection locked="0"/>
    </xf>
    <xf numFmtId="164" fontId="4" fillId="0" borderId="7" xfId="1" applyNumberFormat="1" applyFont="1" applyFill="1" applyBorder="1" applyAlignment="1" applyProtection="1">
      <alignment horizontal="center" vertical="center"/>
      <protection locked="0"/>
    </xf>
    <xf numFmtId="164" fontId="6" fillId="0" borderId="8" xfId="1" applyNumberFormat="1" applyFont="1" applyFill="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vertical="center" wrapText="1"/>
      <protection locked="0"/>
    </xf>
    <xf numFmtId="164" fontId="4" fillId="0" borderId="8" xfId="1" applyNumberFormat="1"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vertical="center" wrapText="1"/>
      <protection locked="0"/>
    </xf>
    <xf numFmtId="164" fontId="8" fillId="0" borderId="7" xfId="1" applyNumberFormat="1" applyFont="1" applyBorder="1" applyAlignment="1" applyProtection="1">
      <alignment horizontal="center" vertical="center"/>
      <protection locked="0"/>
    </xf>
    <xf numFmtId="164" fontId="8" fillId="0" borderId="8" xfId="1" applyNumberFormat="1" applyFont="1" applyBorder="1" applyAlignment="1" applyProtection="1">
      <alignment horizontal="center" vertical="center"/>
      <protection locked="0"/>
    </xf>
    <xf numFmtId="164" fontId="4" fillId="0" borderId="8" xfId="1" applyNumberFormat="1" applyFont="1" applyFill="1" applyBorder="1" applyAlignment="1" applyProtection="1">
      <alignment horizontal="center" vertical="center"/>
      <protection locked="0"/>
    </xf>
    <xf numFmtId="0" fontId="4" fillId="2" borderId="0" xfId="0" applyFont="1" applyFill="1" applyAlignment="1" applyProtection="1">
      <alignment vertical="center"/>
      <protection locked="0"/>
    </xf>
    <xf numFmtId="0" fontId="4" fillId="2" borderId="7" xfId="0" applyFont="1" applyFill="1" applyBorder="1" applyAlignment="1" applyProtection="1">
      <alignment horizontal="center" vertical="center"/>
      <protection locked="0"/>
    </xf>
    <xf numFmtId="43" fontId="4" fillId="0" borderId="7" xfId="1" applyFont="1" applyFill="1" applyBorder="1" applyAlignment="1" applyProtection="1">
      <alignment vertical="center"/>
      <protection locked="0"/>
    </xf>
    <xf numFmtId="164" fontId="4" fillId="2" borderId="8" xfId="1" applyNumberFormat="1" applyFont="1" applyFill="1" applyBorder="1" applyAlignment="1" applyProtection="1">
      <alignment horizontal="center" vertical="center"/>
      <protection locked="0"/>
    </xf>
    <xf numFmtId="0" fontId="9" fillId="2" borderId="0" xfId="0" applyFont="1" applyFill="1" applyAlignment="1" applyProtection="1">
      <alignment vertical="center"/>
      <protection locked="0"/>
    </xf>
    <xf numFmtId="0" fontId="10" fillId="2" borderId="0" xfId="0" applyFont="1" applyFill="1" applyAlignment="1" applyProtection="1">
      <alignment vertical="center"/>
      <protection locked="0"/>
    </xf>
    <xf numFmtId="0" fontId="9" fillId="0" borderId="0" xfId="0" applyFont="1" applyAlignment="1" applyProtection="1">
      <alignment vertical="center"/>
      <protection locked="0"/>
    </xf>
    <xf numFmtId="0" fontId="11" fillId="0" borderId="7" xfId="0" applyFont="1" applyBorder="1" applyAlignment="1" applyProtection="1">
      <alignment horizontal="center" vertical="center" wrapText="1"/>
      <protection locked="0"/>
    </xf>
    <xf numFmtId="0" fontId="11" fillId="0" borderId="7" xfId="0" applyFont="1" applyBorder="1" applyAlignment="1" applyProtection="1">
      <alignment vertical="center" wrapText="1"/>
      <protection locked="0"/>
    </xf>
    <xf numFmtId="0" fontId="10" fillId="2" borderId="7" xfId="0" applyFont="1" applyFill="1" applyBorder="1" applyAlignment="1" applyProtection="1">
      <alignment horizontal="center" vertical="center"/>
      <protection locked="0"/>
    </xf>
    <xf numFmtId="0" fontId="12" fillId="0" borderId="7" xfId="0" applyFont="1" applyBorder="1" applyAlignment="1" applyProtection="1">
      <alignment vertical="justify"/>
      <protection locked="0"/>
    </xf>
    <xf numFmtId="0" fontId="12" fillId="0" borderId="7" xfId="0" applyFont="1" applyBorder="1" applyAlignment="1" applyProtection="1">
      <alignment horizontal="center" vertical="justify"/>
      <protection locked="0"/>
    </xf>
    <xf numFmtId="0" fontId="11" fillId="0" borderId="13" xfId="0" applyFont="1" applyBorder="1" applyAlignment="1" applyProtection="1">
      <alignment horizontal="center" vertical="center" wrapText="1"/>
      <protection locked="0"/>
    </xf>
    <xf numFmtId="0" fontId="4" fillId="0" borderId="13" xfId="0" applyFont="1" applyBorder="1" applyAlignment="1" applyProtection="1">
      <alignment vertical="center" wrapText="1"/>
      <protection locked="0"/>
    </xf>
    <xf numFmtId="0" fontId="4" fillId="0" borderId="13" xfId="0" applyFont="1" applyBorder="1" applyAlignment="1" applyProtection="1">
      <alignment horizontal="center" vertical="center"/>
      <protection locked="0"/>
    </xf>
    <xf numFmtId="164" fontId="4" fillId="0" borderId="13" xfId="1" applyNumberFormat="1"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center" vertical="center"/>
      <protection locked="0"/>
    </xf>
    <xf numFmtId="164" fontId="4" fillId="0" borderId="0" xfId="1" applyNumberFormat="1" applyFont="1" applyAlignment="1" applyProtection="1">
      <alignment vertical="center"/>
      <protection locked="0"/>
    </xf>
    <xf numFmtId="0" fontId="6" fillId="6" borderId="13" xfId="0" applyFont="1" applyFill="1" applyBorder="1" applyAlignment="1" applyProtection="1">
      <alignment vertical="center" wrapText="1"/>
      <protection locked="0"/>
    </xf>
    <xf numFmtId="0" fontId="4" fillId="2" borderId="7" xfId="0" applyFont="1" applyFill="1" applyBorder="1" applyAlignment="1" applyProtection="1">
      <alignment horizontal="center" vertical="center" wrapText="1"/>
      <protection locked="0"/>
    </xf>
    <xf numFmtId="164" fontId="4" fillId="2" borderId="7" xfId="1" applyNumberFormat="1" applyFont="1" applyFill="1" applyBorder="1" applyAlignment="1" applyProtection="1">
      <alignment horizontal="left" vertical="center" wrapText="1"/>
      <protection locked="0"/>
    </xf>
    <xf numFmtId="0" fontId="4" fillId="0" borderId="0" xfId="0" applyFont="1" applyAlignment="1" applyProtection="1">
      <alignment vertical="center" wrapText="1"/>
      <protection locked="0"/>
    </xf>
    <xf numFmtId="0" fontId="6" fillId="0" borderId="13" xfId="0" applyFont="1" applyBorder="1" applyAlignment="1" applyProtection="1">
      <alignment vertical="center" wrapText="1"/>
      <protection locked="0"/>
    </xf>
    <xf numFmtId="164" fontId="6" fillId="0" borderId="14" xfId="1" applyNumberFormat="1" applyFont="1" applyFill="1" applyBorder="1" applyAlignment="1" applyProtection="1">
      <alignment horizontal="center" vertical="center"/>
      <protection locked="0"/>
    </xf>
    <xf numFmtId="0" fontId="14" fillId="0" borderId="0" xfId="0" applyFont="1" applyProtection="1">
      <protection locked="0"/>
    </xf>
    <xf numFmtId="0" fontId="16" fillId="0" borderId="0" xfId="0" applyFont="1" applyProtection="1">
      <protection locked="0"/>
    </xf>
    <xf numFmtId="0" fontId="6" fillId="2" borderId="7" xfId="0" applyFont="1" applyFill="1" applyBorder="1" applyAlignment="1" applyProtection="1">
      <alignment vertical="center" wrapText="1"/>
      <protection locked="0"/>
    </xf>
    <xf numFmtId="164" fontId="6" fillId="2" borderId="8" xfId="1" applyNumberFormat="1" applyFont="1" applyFill="1" applyBorder="1" applyAlignment="1" applyProtection="1">
      <alignment horizontal="center" vertical="center"/>
      <protection locked="0"/>
    </xf>
    <xf numFmtId="0" fontId="19" fillId="0" borderId="0" xfId="0" applyFont="1" applyProtection="1">
      <protection locked="0"/>
    </xf>
    <xf numFmtId="164" fontId="4" fillId="2" borderId="7" xfId="1" applyNumberFormat="1" applyFont="1" applyFill="1" applyBorder="1" applyAlignment="1" applyProtection="1">
      <alignment vertical="center" wrapText="1"/>
      <protection locked="0"/>
    </xf>
    <xf numFmtId="164" fontId="6" fillId="2" borderId="7" xfId="1" applyNumberFormat="1" applyFont="1" applyFill="1" applyBorder="1" applyAlignment="1" applyProtection="1">
      <alignment vertical="center" wrapText="1"/>
      <protection locked="0"/>
    </xf>
    <xf numFmtId="0" fontId="6" fillId="6" borderId="7" xfId="0" applyFont="1" applyFill="1" applyBorder="1" applyAlignment="1" applyProtection="1">
      <alignment vertical="center" wrapText="1"/>
      <protection locked="0"/>
    </xf>
    <xf numFmtId="0" fontId="19" fillId="2" borderId="7" xfId="0" applyFont="1" applyFill="1" applyBorder="1" applyAlignment="1" applyProtection="1">
      <alignment horizontal="center" vertical="center"/>
      <protection locked="0"/>
    </xf>
    <xf numFmtId="0" fontId="21" fillId="2" borderId="7" xfId="0" applyFont="1" applyFill="1" applyBorder="1" applyAlignment="1" applyProtection="1">
      <alignment vertical="center" wrapText="1"/>
      <protection locked="0"/>
    </xf>
    <xf numFmtId="164" fontId="21" fillId="2" borderId="7" xfId="1" applyNumberFormat="1" applyFont="1" applyFill="1" applyBorder="1" applyAlignment="1" applyProtection="1">
      <alignment horizontal="center" vertical="center"/>
      <protection locked="0"/>
    </xf>
    <xf numFmtId="0" fontId="4" fillId="2" borderId="6" xfId="0" applyFont="1" applyFill="1" applyBorder="1" applyAlignment="1" applyProtection="1">
      <alignment vertical="center" wrapText="1"/>
      <protection locked="0"/>
    </xf>
    <xf numFmtId="164" fontId="4" fillId="2" borderId="8" xfId="1" applyNumberFormat="1" applyFont="1" applyFill="1" applyBorder="1" applyAlignment="1" applyProtection="1">
      <alignment vertical="center" wrapText="1"/>
      <protection locked="0"/>
    </xf>
    <xf numFmtId="0" fontId="6" fillId="0" borderId="6" xfId="0" applyFont="1" applyBorder="1" applyAlignment="1" applyProtection="1">
      <alignment vertical="center" wrapText="1"/>
      <protection locked="0"/>
    </xf>
    <xf numFmtId="164" fontId="6" fillId="0" borderId="7" xfId="1" applyNumberFormat="1" applyFont="1" applyFill="1" applyBorder="1" applyAlignment="1" applyProtection="1">
      <alignment vertical="center" wrapText="1"/>
      <protection locked="0"/>
    </xf>
    <xf numFmtId="164" fontId="6" fillId="0" borderId="8" xfId="1" applyNumberFormat="1" applyFont="1" applyFill="1" applyBorder="1" applyAlignment="1" applyProtection="1">
      <alignment vertical="center" wrapText="1"/>
      <protection locked="0"/>
    </xf>
    <xf numFmtId="164" fontId="6" fillId="0" borderId="7" xfId="1" applyNumberFormat="1"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vertical="center" wrapText="1"/>
      <protection locked="0"/>
    </xf>
    <xf numFmtId="0" fontId="4" fillId="7" borderId="7" xfId="0" applyFont="1" applyFill="1" applyBorder="1" applyAlignment="1" applyProtection="1">
      <alignment horizontal="center" vertical="center"/>
      <protection locked="0"/>
    </xf>
    <xf numFmtId="164" fontId="4" fillId="7" borderId="7" xfId="1" applyNumberFormat="1" applyFont="1" applyFill="1" applyBorder="1" applyAlignment="1" applyProtection="1">
      <alignment horizontal="center" vertical="center"/>
      <protection locked="0"/>
    </xf>
    <xf numFmtId="164" fontId="6" fillId="7" borderId="8" xfId="1" applyNumberFormat="1" applyFont="1" applyFill="1" applyBorder="1" applyAlignment="1" applyProtection="1">
      <alignment horizontal="center" vertical="center"/>
      <protection locked="0"/>
    </xf>
    <xf numFmtId="0" fontId="4" fillId="7" borderId="0" xfId="0" applyFont="1" applyFill="1" applyAlignment="1" applyProtection="1">
      <alignment vertical="center"/>
      <protection locked="0"/>
    </xf>
    <xf numFmtId="0" fontId="6" fillId="0" borderId="7" xfId="0" applyFont="1" applyBorder="1" applyAlignment="1" applyProtection="1">
      <alignment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left" vertical="center" wrapText="1"/>
      <protection locked="0"/>
    </xf>
    <xf numFmtId="0" fontId="2" fillId="0" borderId="7" xfId="0" applyFont="1" applyBorder="1" applyAlignment="1" applyProtection="1">
      <alignment horizontal="center" vertical="center"/>
      <protection locked="0"/>
    </xf>
    <xf numFmtId="164" fontId="2" fillId="0" borderId="8" xfId="1" applyNumberFormat="1" applyFont="1" applyFill="1" applyBorder="1" applyAlignment="1" applyProtection="1">
      <alignment horizontal="center" vertical="center"/>
      <protection locked="0"/>
    </xf>
    <xf numFmtId="164" fontId="2" fillId="0" borderId="7" xfId="1" applyNumberFormat="1" applyFont="1" applyFill="1" applyBorder="1" applyAlignment="1" applyProtection="1">
      <alignment horizontal="center" vertical="center"/>
      <protection locked="0"/>
    </xf>
    <xf numFmtId="0" fontId="6" fillId="0" borderId="7" xfId="0" applyFont="1" applyBorder="1" applyAlignment="1" applyProtection="1">
      <alignment horizontal="left" vertical="center"/>
      <protection locked="0"/>
    </xf>
    <xf numFmtId="0" fontId="2" fillId="0" borderId="7" xfId="0" applyFont="1" applyBorder="1" applyAlignment="1" applyProtection="1">
      <alignment vertical="center" wrapText="1"/>
      <protection locked="0"/>
    </xf>
    <xf numFmtId="0" fontId="3" fillId="2" borderId="7" xfId="0" applyFont="1" applyFill="1" applyBorder="1" applyAlignment="1" applyProtection="1">
      <alignment vertical="center" wrapText="1"/>
      <protection locked="0"/>
    </xf>
    <xf numFmtId="0" fontId="4" fillId="0" borderId="12" xfId="0" applyFont="1" applyBorder="1" applyAlignment="1" applyProtection="1">
      <alignment horizontal="center" vertical="center"/>
      <protection locked="0"/>
    </xf>
    <xf numFmtId="0" fontId="11" fillId="0" borderId="0" xfId="0" applyFont="1" applyAlignment="1" applyProtection="1">
      <alignment vertical="center"/>
      <protection locked="0"/>
    </xf>
    <xf numFmtId="0" fontId="12" fillId="0" borderId="12" xfId="0" applyFont="1" applyBorder="1" applyAlignment="1" applyProtection="1">
      <alignment horizontal="right" vertical="justify"/>
      <protection locked="0"/>
    </xf>
    <xf numFmtId="0" fontId="15" fillId="0" borderId="10" xfId="0" applyFont="1" applyBorder="1" applyAlignment="1" applyProtection="1">
      <alignment vertical="justify"/>
      <protection locked="0"/>
    </xf>
    <xf numFmtId="0" fontId="15" fillId="0" borderId="7" xfId="0" applyFont="1" applyBorder="1" applyAlignment="1" applyProtection="1">
      <alignment horizontal="center"/>
      <protection locked="0"/>
    </xf>
    <xf numFmtId="3" fontId="15" fillId="0" borderId="7" xfId="0" applyNumberFormat="1" applyFont="1" applyBorder="1" applyAlignment="1" applyProtection="1">
      <alignment horizontal="right"/>
      <protection locked="0"/>
    </xf>
    <xf numFmtId="3" fontId="15" fillId="0" borderId="8" xfId="0" applyNumberFormat="1" applyFont="1" applyBorder="1" applyProtection="1">
      <protection locked="0"/>
    </xf>
    <xf numFmtId="0" fontId="12" fillId="8" borderId="12" xfId="0" applyFont="1" applyFill="1" applyBorder="1" applyAlignment="1" applyProtection="1">
      <alignment horizontal="right" vertical="justify"/>
      <protection locked="0"/>
    </xf>
    <xf numFmtId="0" fontId="15" fillId="8" borderId="10" xfId="0" applyFont="1" applyFill="1" applyBorder="1" applyAlignment="1" applyProtection="1">
      <alignment horizontal="justify" vertical="distributed"/>
      <protection locked="0"/>
    </xf>
    <xf numFmtId="0" fontId="15" fillId="8" borderId="7" xfId="0" applyFont="1" applyFill="1" applyBorder="1" applyAlignment="1" applyProtection="1">
      <alignment horizontal="center"/>
      <protection locked="0"/>
    </xf>
    <xf numFmtId="3" fontId="15" fillId="8" borderId="7" xfId="0" applyNumberFormat="1" applyFont="1" applyFill="1" applyBorder="1" applyAlignment="1" applyProtection="1">
      <alignment horizontal="right"/>
      <protection locked="0"/>
    </xf>
    <xf numFmtId="0" fontId="4" fillId="2" borderId="7" xfId="0" applyFont="1" applyFill="1" applyBorder="1" applyAlignment="1" applyProtection="1">
      <alignment vertical="center"/>
      <protection locked="0"/>
    </xf>
    <xf numFmtId="0" fontId="4" fillId="2" borderId="13" xfId="0" applyFont="1" applyFill="1" applyBorder="1" applyAlignment="1" applyProtection="1">
      <alignment horizontal="center" vertical="center"/>
      <protection locked="0"/>
    </xf>
    <xf numFmtId="0" fontId="6" fillId="2" borderId="13" xfId="0" applyFont="1" applyFill="1" applyBorder="1" applyAlignment="1" applyProtection="1">
      <alignment vertical="center" wrapText="1"/>
      <protection locked="0"/>
    </xf>
    <xf numFmtId="164" fontId="4" fillId="2" borderId="13" xfId="1" applyNumberFormat="1" applyFont="1" applyFill="1" applyBorder="1" applyAlignment="1" applyProtection="1">
      <alignment horizontal="center" vertical="center"/>
      <protection locked="0"/>
    </xf>
    <xf numFmtId="164" fontId="6" fillId="2" borderId="14" xfId="1" applyNumberFormat="1" applyFont="1" applyFill="1" applyBorder="1" applyAlignment="1" applyProtection="1">
      <alignment horizontal="center" vertical="center"/>
      <protection locked="0"/>
    </xf>
    <xf numFmtId="164" fontId="4" fillId="0" borderId="7" xfId="1" applyNumberFormat="1" applyFont="1" applyFill="1" applyBorder="1" applyAlignment="1" applyProtection="1">
      <alignment vertical="center" wrapText="1"/>
      <protection locked="0"/>
    </xf>
    <xf numFmtId="3" fontId="4" fillId="0" borderId="7" xfId="0" applyNumberFormat="1" applyFont="1" applyBorder="1" applyAlignment="1" applyProtection="1">
      <alignment horizontal="center" vertical="center"/>
      <protection locked="0"/>
    </xf>
    <xf numFmtId="0" fontId="19" fillId="0" borderId="0" xfId="0" applyFont="1" applyAlignment="1" applyProtection="1">
      <alignment wrapText="1"/>
      <protection locked="0"/>
    </xf>
    <xf numFmtId="0" fontId="21" fillId="4" borderId="7" xfId="0" applyFont="1" applyFill="1" applyBorder="1" applyAlignment="1" applyProtection="1">
      <alignment horizontal="center" wrapText="1"/>
      <protection locked="0"/>
    </xf>
    <xf numFmtId="0" fontId="19" fillId="0" borderId="7" xfId="0" applyFont="1" applyBorder="1" applyAlignment="1" applyProtection="1">
      <alignment wrapText="1"/>
      <protection locked="0"/>
    </xf>
    <xf numFmtId="0" fontId="27" fillId="0" borderId="7" xfId="0" applyFont="1" applyBorder="1" applyAlignment="1" applyProtection="1">
      <alignment vertical="justify" wrapText="1"/>
      <protection locked="0"/>
    </xf>
    <xf numFmtId="0" fontId="27" fillId="0" borderId="7" xfId="0" applyFont="1" applyBorder="1" applyAlignment="1" applyProtection="1">
      <alignment horizontal="center" vertical="center" wrapText="1"/>
      <protection locked="0"/>
    </xf>
    <xf numFmtId="43" fontId="21" fillId="0" borderId="7" xfId="1" applyFont="1" applyFill="1" applyBorder="1" applyAlignment="1" applyProtection="1">
      <alignment horizontal="center" vertical="center" wrapText="1"/>
      <protection locked="0"/>
    </xf>
    <xf numFmtId="164" fontId="21" fillId="0" borderId="7" xfId="1" applyNumberFormat="1" applyFont="1" applyFill="1" applyBorder="1" applyAlignment="1" applyProtection="1">
      <alignment horizontal="center" vertical="center" wrapText="1"/>
      <protection locked="0"/>
    </xf>
    <xf numFmtId="164" fontId="27" fillId="0" borderId="7" xfId="1" applyNumberFormat="1" applyFont="1" applyFill="1" applyBorder="1" applyAlignment="1" applyProtection="1">
      <alignment horizontal="center" vertical="center" wrapText="1"/>
      <protection locked="0"/>
    </xf>
    <xf numFmtId="0" fontId="19" fillId="0" borderId="7" xfId="0" applyFont="1" applyBorder="1" applyAlignment="1" applyProtection="1">
      <alignment horizontal="center" wrapText="1"/>
      <protection locked="0"/>
    </xf>
    <xf numFmtId="0" fontId="28" fillId="0" borderId="7" xfId="0" applyFont="1" applyBorder="1" applyAlignment="1" applyProtection="1">
      <alignment horizontal="center" vertical="center" wrapText="1"/>
      <protection locked="0"/>
    </xf>
    <xf numFmtId="43" fontId="19" fillId="0" borderId="7" xfId="1" applyFont="1" applyFill="1" applyBorder="1" applyAlignment="1" applyProtection="1">
      <alignment horizontal="center" vertical="center" wrapText="1"/>
      <protection locked="0"/>
    </xf>
    <xf numFmtId="164" fontId="19" fillId="0" borderId="7" xfId="1" applyNumberFormat="1" applyFont="1" applyFill="1" applyBorder="1" applyAlignment="1" applyProtection="1">
      <alignment horizontal="center" vertical="center" wrapText="1"/>
      <protection locked="0"/>
    </xf>
    <xf numFmtId="0" fontId="35" fillId="0" borderId="7" xfId="0" applyFont="1" applyBorder="1" applyAlignment="1" applyProtection="1">
      <alignment horizontal="center"/>
      <protection locked="0"/>
    </xf>
    <xf numFmtId="3" fontId="12" fillId="0" borderId="7" xfId="0" applyNumberFormat="1" applyFont="1" applyBorder="1" applyAlignment="1" applyProtection="1">
      <alignment vertical="justify" wrapText="1"/>
      <protection locked="0"/>
    </xf>
    <xf numFmtId="3" fontId="12" fillId="0" borderId="7" xfId="0" applyNumberFormat="1" applyFont="1" applyBorder="1" applyAlignment="1" applyProtection="1">
      <alignment horizontal="center" vertical="justify"/>
      <protection locked="0"/>
    </xf>
    <xf numFmtId="1" fontId="12" fillId="0" borderId="7" xfId="0" applyNumberFormat="1" applyFont="1" applyBorder="1" applyAlignment="1" applyProtection="1">
      <alignment horizontal="right" vertical="top" wrapText="1"/>
      <protection locked="0"/>
    </xf>
    <xf numFmtId="0" fontId="19" fillId="9" borderId="7" xfId="0" applyFont="1" applyFill="1" applyBorder="1" applyAlignment="1" applyProtection="1">
      <alignment wrapText="1"/>
      <protection locked="0"/>
    </xf>
    <xf numFmtId="0" fontId="27" fillId="9" borderId="7" xfId="0" applyFont="1" applyFill="1" applyBorder="1" applyAlignment="1" applyProtection="1">
      <alignment vertical="justify" wrapText="1"/>
      <protection locked="0"/>
    </xf>
    <xf numFmtId="0" fontId="27" fillId="9" borderId="7" xfId="0" applyFont="1" applyFill="1" applyBorder="1" applyAlignment="1" applyProtection="1">
      <alignment horizontal="center" vertical="center"/>
      <protection locked="0"/>
    </xf>
    <xf numFmtId="164" fontId="19" fillId="9" borderId="7" xfId="1" applyNumberFormat="1" applyFont="1" applyFill="1" applyBorder="1" applyAlignment="1" applyProtection="1">
      <alignment horizontal="center" vertical="center"/>
      <protection locked="0"/>
    </xf>
    <xf numFmtId="0" fontId="19" fillId="10" borderId="7" xfId="0" applyFont="1" applyFill="1" applyBorder="1" applyAlignment="1" applyProtection="1">
      <alignment wrapText="1"/>
      <protection locked="0"/>
    </xf>
    <xf numFmtId="0" fontId="27" fillId="10" borderId="7" xfId="0" applyFont="1" applyFill="1" applyBorder="1" applyAlignment="1" applyProtection="1">
      <alignment vertical="justify" wrapText="1"/>
      <protection locked="0"/>
    </xf>
    <xf numFmtId="0" fontId="27" fillId="10" borderId="7" xfId="0" applyFont="1" applyFill="1" applyBorder="1" applyAlignment="1" applyProtection="1">
      <alignment horizontal="center" vertical="center" wrapText="1"/>
      <protection locked="0"/>
    </xf>
    <xf numFmtId="164" fontId="21" fillId="10" borderId="7" xfId="1" applyNumberFormat="1" applyFont="1" applyFill="1" applyBorder="1" applyAlignment="1" applyProtection="1">
      <alignment horizontal="center" vertical="center" wrapText="1"/>
      <protection locked="0"/>
    </xf>
    <xf numFmtId="0" fontId="0" fillId="0" borderId="0" xfId="0" applyProtection="1">
      <protection locked="0"/>
    </xf>
    <xf numFmtId="0" fontId="19" fillId="8" borderId="7" xfId="0" applyFont="1" applyFill="1" applyBorder="1" applyAlignment="1" applyProtection="1">
      <alignment horizontal="center" wrapText="1"/>
      <protection locked="0"/>
    </xf>
    <xf numFmtId="0" fontId="27" fillId="8" borderId="7" xfId="0" applyFont="1" applyFill="1" applyBorder="1" applyAlignment="1" applyProtection="1">
      <alignment vertical="justify" wrapText="1"/>
      <protection locked="0"/>
    </xf>
    <xf numFmtId="0" fontId="28" fillId="8" borderId="7" xfId="0" applyFont="1" applyFill="1" applyBorder="1" applyAlignment="1" applyProtection="1">
      <alignment horizontal="center" vertical="center" wrapText="1"/>
      <protection locked="0"/>
    </xf>
    <xf numFmtId="164" fontId="19" fillId="8" borderId="7" xfId="1" applyNumberFormat="1" applyFont="1" applyFill="1" applyBorder="1" applyAlignment="1" applyProtection="1">
      <alignment horizontal="center" vertical="center" wrapText="1"/>
      <protection locked="0"/>
    </xf>
    <xf numFmtId="164" fontId="27" fillId="8" borderId="7" xfId="1" applyNumberFormat="1" applyFont="1" applyFill="1" applyBorder="1" applyAlignment="1" applyProtection="1">
      <alignment horizontal="center" vertical="center" wrapText="1"/>
      <protection locked="0"/>
    </xf>
    <xf numFmtId="0" fontId="29" fillId="0" borderId="7" xfId="0" applyFont="1" applyBorder="1" applyAlignment="1" applyProtection="1">
      <alignment vertical="justify" wrapText="1"/>
      <protection locked="0"/>
    </xf>
    <xf numFmtId="0" fontId="29" fillId="0" borderId="7" xfId="0" applyFont="1" applyBorder="1" applyAlignment="1" applyProtection="1">
      <alignment horizontal="center"/>
      <protection locked="0"/>
    </xf>
    <xf numFmtId="0" fontId="31" fillId="0" borderId="0" xfId="0" applyFont="1" applyProtection="1">
      <protection locked="0"/>
    </xf>
    <xf numFmtId="0" fontId="29" fillId="0" borderId="7" xfId="0" applyFont="1" applyBorder="1" applyAlignment="1" applyProtection="1">
      <alignment horizontal="left" vertical="center" wrapText="1"/>
      <protection locked="0"/>
    </xf>
    <xf numFmtId="0" fontId="27" fillId="6" borderId="7" xfId="0" applyFont="1" applyFill="1" applyBorder="1" applyAlignment="1" applyProtection="1">
      <alignment vertical="justify" wrapText="1"/>
      <protection locked="0"/>
    </xf>
    <xf numFmtId="0" fontId="29" fillId="0" borderId="15" xfId="3" applyFont="1" applyBorder="1" applyAlignment="1" applyProtection="1">
      <alignment vertical="justify"/>
      <protection locked="0"/>
    </xf>
    <xf numFmtId="0" fontId="29" fillId="0" borderId="15" xfId="3" applyFont="1" applyBorder="1" applyAlignment="1" applyProtection="1">
      <alignment horizontal="center" vertical="justify"/>
      <protection locked="0"/>
    </xf>
    <xf numFmtId="0" fontId="18" fillId="0" borderId="15" xfId="0" applyFont="1" applyBorder="1" applyProtection="1">
      <protection locked="0"/>
    </xf>
    <xf numFmtId="0" fontId="29" fillId="0" borderId="7" xfId="3" applyFont="1" applyBorder="1" applyAlignment="1" applyProtection="1">
      <alignment vertical="justify"/>
      <protection locked="0"/>
    </xf>
    <xf numFmtId="0" fontId="29" fillId="0" borderId="7" xfId="3" applyFont="1" applyBorder="1" applyAlignment="1" applyProtection="1">
      <alignment horizontal="center" vertical="justify"/>
      <protection locked="0"/>
    </xf>
    <xf numFmtId="0" fontId="18" fillId="0" borderId="7" xfId="0" applyFont="1" applyBorder="1" applyProtection="1">
      <protection locked="0"/>
    </xf>
    <xf numFmtId="0" fontId="29" fillId="0" borderId="7" xfId="3" applyFont="1" applyBorder="1" applyAlignment="1" applyProtection="1">
      <alignment vertical="center" wrapText="1"/>
      <protection locked="0"/>
    </xf>
    <xf numFmtId="0" fontId="27" fillId="2" borderId="7" xfId="0" applyFont="1" applyFill="1" applyBorder="1" applyAlignment="1" applyProtection="1">
      <alignment horizontal="right" vertical="justify"/>
      <protection locked="0"/>
    </xf>
    <xf numFmtId="0" fontId="27" fillId="2" borderId="7" xfId="0" applyFont="1" applyFill="1" applyBorder="1" applyAlignment="1" applyProtection="1">
      <alignment vertical="justify"/>
      <protection locked="0"/>
    </xf>
    <xf numFmtId="0" fontId="27" fillId="2" borderId="16" xfId="0" applyFont="1" applyFill="1" applyBorder="1" applyAlignment="1" applyProtection="1">
      <alignment horizontal="center" vertical="center"/>
      <protection locked="0"/>
    </xf>
    <xf numFmtId="43" fontId="21" fillId="2" borderId="7" xfId="1" applyFont="1" applyFill="1" applyBorder="1" applyAlignment="1" applyProtection="1">
      <alignment horizontal="center" vertical="center"/>
      <protection locked="0"/>
    </xf>
    <xf numFmtId="164" fontId="27" fillId="2" borderId="7" xfId="1" applyNumberFormat="1" applyFont="1" applyFill="1" applyBorder="1" applyAlignment="1" applyProtection="1">
      <alignment horizontal="center" vertical="center"/>
      <protection locked="0"/>
    </xf>
    <xf numFmtId="0" fontId="21" fillId="11" borderId="7" xfId="0" applyFont="1" applyFill="1" applyBorder="1" applyAlignment="1" applyProtection="1">
      <alignment horizontal="center" vertical="center"/>
      <protection locked="0"/>
    </xf>
    <xf numFmtId="0" fontId="21" fillId="11" borderId="7" xfId="0" applyFont="1" applyFill="1" applyBorder="1" applyAlignment="1" applyProtection="1">
      <alignment vertical="justify" wrapText="1"/>
      <protection locked="0"/>
    </xf>
    <xf numFmtId="3" fontId="21" fillId="11" borderId="7" xfId="0" applyNumberFormat="1" applyFont="1" applyFill="1" applyBorder="1" applyAlignment="1" applyProtection="1">
      <alignment horizontal="center" vertical="center"/>
      <protection locked="0"/>
    </xf>
    <xf numFmtId="0" fontId="21" fillId="6" borderId="7" xfId="0" applyFont="1" applyFill="1" applyBorder="1" applyAlignment="1" applyProtection="1">
      <alignment horizontal="center" vertical="center"/>
      <protection locked="0"/>
    </xf>
    <xf numFmtId="3" fontId="21" fillId="6" borderId="7" xfId="0" applyNumberFormat="1" applyFont="1" applyFill="1" applyBorder="1" applyAlignment="1" applyProtection="1">
      <alignment horizontal="center" vertical="center"/>
      <protection locked="0"/>
    </xf>
    <xf numFmtId="165" fontId="21" fillId="6" borderId="7" xfId="0" applyNumberFormat="1" applyFont="1" applyFill="1" applyBorder="1" applyAlignment="1" applyProtection="1">
      <alignment horizontal="center" vertical="center"/>
      <protection locked="0"/>
    </xf>
    <xf numFmtId="0" fontId="19" fillId="12" borderId="0" xfId="0" applyFont="1" applyFill="1" applyAlignment="1" applyProtection="1">
      <alignment horizontal="center" vertical="center"/>
      <protection locked="0"/>
    </xf>
    <xf numFmtId="43" fontId="19" fillId="12" borderId="0" xfId="1" applyFont="1" applyFill="1" applyAlignment="1" applyProtection="1">
      <alignment vertical="center"/>
      <protection locked="0"/>
    </xf>
    <xf numFmtId="164" fontId="19" fillId="12" borderId="0" xfId="1" applyNumberFormat="1" applyFont="1" applyFill="1" applyAlignment="1" applyProtection="1">
      <alignment horizontal="center" vertical="center"/>
      <protection locked="0"/>
    </xf>
    <xf numFmtId="0" fontId="19" fillId="0" borderId="0" xfId="0" applyFont="1" applyAlignment="1" applyProtection="1">
      <alignment horizontal="center" vertical="center"/>
      <protection locked="0"/>
    </xf>
    <xf numFmtId="43" fontId="19" fillId="0" borderId="0" xfId="1" applyFont="1" applyAlignment="1" applyProtection="1">
      <alignment vertical="center"/>
      <protection locked="0"/>
    </xf>
    <xf numFmtId="164" fontId="19" fillId="0" borderId="0" xfId="1" applyNumberFormat="1" applyFont="1" applyAlignment="1" applyProtection="1">
      <alignment horizontal="center" vertical="center"/>
      <protection locked="0"/>
    </xf>
    <xf numFmtId="164" fontId="19" fillId="0" borderId="17" xfId="1" applyNumberFormat="1" applyFont="1" applyBorder="1" applyAlignment="1" applyProtection="1">
      <alignment horizontal="center" vertical="center"/>
      <protection locked="0"/>
    </xf>
    <xf numFmtId="0" fontId="19" fillId="13" borderId="0" xfId="0" applyFont="1" applyFill="1" applyAlignment="1" applyProtection="1">
      <alignment horizontal="center" vertical="center"/>
      <protection locked="0"/>
    </xf>
    <xf numFmtId="43" fontId="19" fillId="13" borderId="0" xfId="1" applyFont="1" applyFill="1" applyAlignment="1" applyProtection="1">
      <alignment vertical="center"/>
      <protection locked="0"/>
    </xf>
    <xf numFmtId="164" fontId="19" fillId="13" borderId="0" xfId="1" applyNumberFormat="1" applyFont="1" applyFill="1" applyAlignment="1" applyProtection="1">
      <alignment horizontal="center" vertical="center"/>
      <protection locked="0"/>
    </xf>
    <xf numFmtId="0" fontId="4" fillId="0" borderId="0" xfId="0" applyFont="1" applyAlignment="1" applyProtection="1">
      <alignment horizontal="center" vertical="center"/>
      <protection locked="0"/>
    </xf>
    <xf numFmtId="43" fontId="4" fillId="0" borderId="0" xfId="1" applyFont="1" applyAlignment="1" applyProtection="1">
      <alignment vertical="center"/>
      <protection locked="0"/>
    </xf>
    <xf numFmtId="164" fontId="4" fillId="0" borderId="0" xfId="1" applyNumberFormat="1" applyFont="1" applyAlignment="1" applyProtection="1">
      <alignment horizontal="center" vertical="center"/>
      <protection locked="0"/>
    </xf>
    <xf numFmtId="164" fontId="4" fillId="0" borderId="17" xfId="1" applyNumberFormat="1" applyFont="1" applyBorder="1" applyAlignment="1" applyProtection="1">
      <alignment horizontal="center" vertical="center"/>
      <protection locked="0"/>
    </xf>
    <xf numFmtId="164" fontId="4" fillId="0" borderId="7" xfId="1" applyNumberFormat="1" applyFont="1" applyBorder="1" applyAlignment="1" applyProtection="1">
      <alignment horizontal="center" vertical="center"/>
    </xf>
    <xf numFmtId="164" fontId="6" fillId="5" borderId="8" xfId="1" applyNumberFormat="1" applyFont="1" applyFill="1" applyBorder="1" applyAlignment="1" applyProtection="1">
      <alignment horizontal="center" vertical="center"/>
    </xf>
    <xf numFmtId="43" fontId="4" fillId="0" borderId="7" xfId="1" applyFont="1" applyFill="1" applyBorder="1" applyAlignment="1" applyProtection="1">
      <alignment horizontal="right" vertical="center"/>
    </xf>
    <xf numFmtId="164" fontId="4" fillId="2" borderId="8" xfId="1" applyNumberFormat="1" applyFont="1" applyFill="1" applyBorder="1" applyAlignment="1" applyProtection="1">
      <alignment horizontal="center" vertical="center"/>
    </xf>
    <xf numFmtId="43" fontId="4" fillId="0" borderId="7" xfId="1" applyFont="1" applyFill="1" applyBorder="1" applyAlignment="1" applyProtection="1">
      <alignment vertical="center"/>
    </xf>
    <xf numFmtId="164" fontId="6" fillId="0" borderId="8" xfId="1" applyNumberFormat="1" applyFont="1" applyFill="1" applyBorder="1" applyAlignment="1" applyProtection="1">
      <alignment horizontal="center" vertical="center"/>
    </xf>
    <xf numFmtId="43" fontId="4" fillId="2" borderId="7" xfId="1" applyFont="1" applyFill="1" applyBorder="1" applyAlignment="1" applyProtection="1">
      <alignment horizontal="center" vertical="center"/>
    </xf>
    <xf numFmtId="43" fontId="4" fillId="2" borderId="7" xfId="1" applyFont="1" applyFill="1" applyBorder="1" applyAlignment="1" applyProtection="1">
      <alignment horizontal="right" vertical="center"/>
    </xf>
    <xf numFmtId="0" fontId="4" fillId="2" borderId="7" xfId="0" applyFont="1" applyFill="1" applyBorder="1" applyAlignment="1">
      <alignment vertical="center" wrapText="1"/>
    </xf>
    <xf numFmtId="164" fontId="4" fillId="2" borderId="7" xfId="1" applyNumberFormat="1" applyFont="1" applyFill="1" applyBorder="1" applyAlignment="1" applyProtection="1">
      <alignment vertical="center" wrapText="1"/>
    </xf>
    <xf numFmtId="164" fontId="6" fillId="2" borderId="7" xfId="1" applyNumberFormat="1" applyFont="1" applyFill="1" applyBorder="1" applyAlignment="1" applyProtection="1">
      <alignment vertical="center" wrapText="1"/>
    </xf>
    <xf numFmtId="164" fontId="4" fillId="2" borderId="8" xfId="1" applyNumberFormat="1" applyFont="1" applyFill="1" applyBorder="1" applyAlignment="1" applyProtection="1">
      <alignment vertical="center" wrapText="1"/>
    </xf>
    <xf numFmtId="43" fontId="2" fillId="0" borderId="7" xfId="1" applyFont="1" applyFill="1" applyBorder="1" applyAlignment="1" applyProtection="1">
      <alignment horizontal="right" vertical="center"/>
    </xf>
    <xf numFmtId="164" fontId="2" fillId="0" borderId="8" xfId="1" applyNumberFormat="1" applyFont="1" applyFill="1" applyBorder="1" applyAlignment="1" applyProtection="1">
      <alignment horizontal="center" vertical="center"/>
    </xf>
    <xf numFmtId="3" fontId="15" fillId="8" borderId="8" xfId="0" applyNumberFormat="1" applyFont="1" applyFill="1" applyBorder="1"/>
    <xf numFmtId="43" fontId="4" fillId="0" borderId="7" xfId="1" applyFont="1" applyFill="1" applyBorder="1" applyAlignment="1" applyProtection="1">
      <alignment horizontal="center" vertical="center"/>
    </xf>
    <xf numFmtId="0" fontId="4" fillId="0" borderId="7" xfId="0" applyFont="1" applyBorder="1" applyAlignment="1">
      <alignment vertical="center" wrapText="1"/>
    </xf>
    <xf numFmtId="164" fontId="4" fillId="0" borderId="7" xfId="1" applyNumberFormat="1" applyFont="1" applyFill="1" applyBorder="1" applyAlignment="1" applyProtection="1">
      <alignment vertical="center" wrapText="1"/>
    </xf>
    <xf numFmtId="164" fontId="6" fillId="0" borderId="7" xfId="1" applyNumberFormat="1" applyFont="1" applyFill="1" applyBorder="1" applyAlignment="1" applyProtection="1">
      <alignment vertical="center" wrapText="1"/>
    </xf>
    <xf numFmtId="1" fontId="12" fillId="0" borderId="7" xfId="0" applyNumberFormat="1" applyFont="1" applyBorder="1" applyAlignment="1">
      <alignment horizontal="right" vertical="top" wrapText="1"/>
    </xf>
    <xf numFmtId="164" fontId="27" fillId="9" borderId="7" xfId="1" applyNumberFormat="1" applyFont="1" applyFill="1" applyBorder="1" applyAlignment="1" applyProtection="1">
      <alignment horizontal="center" vertical="center" wrapText="1"/>
    </xf>
    <xf numFmtId="164" fontId="27" fillId="10" borderId="7" xfId="1" applyNumberFormat="1" applyFont="1" applyFill="1" applyBorder="1" applyAlignment="1" applyProtection="1">
      <alignment horizontal="center" vertical="center" wrapText="1"/>
    </xf>
    <xf numFmtId="0" fontId="18" fillId="0" borderId="15" xfId="0" applyFont="1" applyBorder="1"/>
    <xf numFmtId="0" fontId="18" fillId="0" borderId="7" xfId="0" applyFont="1" applyBorder="1"/>
    <xf numFmtId="164" fontId="21" fillId="11" borderId="7" xfId="1" applyNumberFormat="1" applyFont="1" applyFill="1" applyBorder="1" applyAlignment="1" applyProtection="1">
      <alignment horizontal="center" vertical="center"/>
    </xf>
    <xf numFmtId="164" fontId="21" fillId="6" borderId="7" xfId="1" applyNumberFormat="1" applyFont="1" applyFill="1" applyBorder="1" applyAlignment="1" applyProtection="1">
      <alignment horizontal="center" vertical="center"/>
    </xf>
    <xf numFmtId="43" fontId="19" fillId="12" borderId="17" xfId="1" applyFont="1" applyFill="1" applyBorder="1" applyAlignment="1" applyProtection="1">
      <alignment horizontal="center" vertical="center"/>
    </xf>
    <xf numFmtId="164" fontId="19" fillId="13" borderId="17" xfId="1" applyNumberFormat="1" applyFont="1" applyFill="1" applyBorder="1" applyAlignment="1" applyProtection="1">
      <alignment horizontal="center" vertical="center"/>
    </xf>
    <xf numFmtId="0" fontId="21" fillId="6" borderId="7" xfId="0" applyFont="1" applyFill="1" applyBorder="1" applyAlignment="1">
      <alignment vertical="justify" wrapText="1"/>
    </xf>
    <xf numFmtId="0" fontId="4" fillId="0" borderId="0" xfId="0" applyFont="1" applyAlignment="1">
      <alignment vertical="center" wrapText="1"/>
    </xf>
    <xf numFmtId="0" fontId="19" fillId="12" borderId="0" xfId="0" applyFont="1" applyFill="1" applyAlignment="1">
      <alignment vertical="center" wrapText="1"/>
    </xf>
    <xf numFmtId="0" fontId="19" fillId="0" borderId="0" xfId="0" applyFont="1" applyAlignment="1">
      <alignment vertical="center" wrapText="1"/>
    </xf>
    <xf numFmtId="0" fontId="19" fillId="13" borderId="0" xfId="0" applyFont="1" applyFill="1" applyAlignment="1">
      <alignment vertical="center" wrapText="1"/>
    </xf>
    <xf numFmtId="43" fontId="4" fillId="0" borderId="7" xfId="1" applyFont="1" applyBorder="1" applyAlignment="1" applyProtection="1">
      <alignment horizontal="right" vertical="center"/>
    </xf>
    <xf numFmtId="43" fontId="4" fillId="5" borderId="13" xfId="1" applyFont="1" applyFill="1" applyBorder="1" applyAlignment="1" applyProtection="1">
      <alignment horizontal="right" vertical="center"/>
    </xf>
    <xf numFmtId="0" fontId="3" fillId="2" borderId="0" xfId="0" applyFont="1" applyFill="1" applyAlignment="1">
      <alignment vertical="center" wrapText="1"/>
    </xf>
    <xf numFmtId="43" fontId="6" fillId="5" borderId="13" xfId="1" applyFont="1" applyFill="1" applyBorder="1" applyAlignment="1" applyProtection="1">
      <alignment horizontal="right" vertical="center"/>
    </xf>
    <xf numFmtId="43" fontId="4" fillId="4" borderId="7" xfId="1" applyFont="1" applyFill="1" applyBorder="1" applyAlignment="1" applyProtection="1">
      <alignment horizontal="center" vertical="center"/>
    </xf>
    <xf numFmtId="43" fontId="8" fillId="0" borderId="7" xfId="1" applyFont="1" applyFill="1" applyBorder="1" applyAlignment="1" applyProtection="1">
      <alignment horizontal="center" vertical="center"/>
    </xf>
    <xf numFmtId="43" fontId="4" fillId="0" borderId="7" xfId="1" applyFont="1" applyBorder="1" applyAlignment="1" applyProtection="1">
      <alignment horizontal="center" vertical="center"/>
    </xf>
    <xf numFmtId="43" fontId="8" fillId="0" borderId="7" xfId="1" applyFont="1" applyBorder="1" applyAlignment="1" applyProtection="1">
      <alignment horizontal="center" vertical="center"/>
    </xf>
    <xf numFmtId="43" fontId="8" fillId="0" borderId="7" xfId="1" applyFont="1" applyBorder="1" applyAlignment="1" applyProtection="1">
      <alignment vertical="center"/>
    </xf>
    <xf numFmtId="43" fontId="4" fillId="2" borderId="7" xfId="1" applyFont="1" applyFill="1" applyBorder="1" applyAlignment="1" applyProtection="1">
      <alignment vertical="center"/>
    </xf>
    <xf numFmtId="43" fontId="4" fillId="0" borderId="13" xfId="1" applyFont="1" applyFill="1" applyBorder="1" applyAlignment="1" applyProtection="1">
      <alignment vertical="center"/>
    </xf>
    <xf numFmtId="43" fontId="6" fillId="6" borderId="13" xfId="1" applyFont="1" applyFill="1" applyBorder="1" applyAlignment="1" applyProtection="1">
      <alignment horizontal="right" vertical="center"/>
    </xf>
    <xf numFmtId="43" fontId="4" fillId="2" borderId="7" xfId="1" applyFont="1" applyFill="1" applyBorder="1" applyAlignment="1" applyProtection="1">
      <alignment horizontal="center" vertical="center" wrapText="1"/>
    </xf>
    <xf numFmtId="43" fontId="6" fillId="0" borderId="13" xfId="1" applyFont="1" applyFill="1" applyBorder="1" applyAlignment="1" applyProtection="1">
      <alignment horizontal="right" vertical="center"/>
    </xf>
    <xf numFmtId="0" fontId="6" fillId="2" borderId="7" xfId="0" applyFont="1" applyFill="1" applyBorder="1" applyAlignment="1">
      <alignment vertical="center" wrapText="1"/>
    </xf>
    <xf numFmtId="0" fontId="6" fillId="6" borderId="7" xfId="0" applyFont="1" applyFill="1" applyBorder="1" applyAlignment="1">
      <alignment vertical="center" wrapText="1"/>
    </xf>
    <xf numFmtId="0" fontId="19" fillId="2" borderId="7" xfId="0" applyFont="1" applyFill="1" applyBorder="1" applyAlignment="1">
      <alignment horizontal="center" vertical="center"/>
    </xf>
    <xf numFmtId="43" fontId="4" fillId="2" borderId="7" xfId="1" applyFont="1" applyFill="1" applyBorder="1" applyAlignment="1" applyProtection="1">
      <alignment vertical="center" wrapText="1"/>
    </xf>
    <xf numFmtId="0" fontId="4" fillId="0" borderId="7" xfId="0" applyFont="1" applyBorder="1" applyAlignment="1">
      <alignment horizontal="center" vertical="center"/>
    </xf>
    <xf numFmtId="0" fontId="6" fillId="0" borderId="7" xfId="0" applyFont="1" applyBorder="1" applyAlignment="1">
      <alignment vertical="center" wrapText="1"/>
    </xf>
    <xf numFmtId="43" fontId="6" fillId="0" borderId="7" xfId="1" applyFont="1" applyFill="1" applyBorder="1" applyAlignment="1" applyProtection="1">
      <alignment horizontal="left" vertical="center"/>
    </xf>
    <xf numFmtId="43" fontId="4" fillId="7" borderId="7" xfId="1" applyFont="1" applyFill="1" applyBorder="1" applyAlignment="1" applyProtection="1">
      <alignment horizontal="center" vertical="center"/>
    </xf>
    <xf numFmtId="4" fontId="15" fillId="0" borderId="7" xfId="0" applyNumberFormat="1" applyFont="1" applyBorder="1" applyAlignment="1">
      <alignment horizontal="center"/>
    </xf>
    <xf numFmtId="4" fontId="15" fillId="8" borderId="7" xfId="0" applyNumberFormat="1" applyFont="1" applyFill="1" applyBorder="1" applyAlignment="1">
      <alignment horizontal="center"/>
    </xf>
    <xf numFmtId="43" fontId="6" fillId="2" borderId="13" xfId="1" applyFont="1" applyFill="1" applyBorder="1" applyAlignment="1" applyProtection="1">
      <alignment horizontal="right" vertical="center"/>
    </xf>
    <xf numFmtId="3" fontId="12" fillId="0" borderId="7" xfId="0" applyNumberFormat="1" applyFont="1" applyBorder="1" applyAlignment="1">
      <alignment horizontal="center" vertical="justify"/>
    </xf>
    <xf numFmtId="43" fontId="21" fillId="9" borderId="7" xfId="1" applyFont="1" applyFill="1" applyBorder="1" applyAlignment="1" applyProtection="1">
      <alignment horizontal="center" vertical="center"/>
    </xf>
    <xf numFmtId="43" fontId="21" fillId="10" borderId="7" xfId="1" applyFont="1" applyFill="1" applyBorder="1" applyAlignment="1" applyProtection="1">
      <alignment horizontal="center" vertical="center" wrapText="1"/>
    </xf>
    <xf numFmtId="43" fontId="21" fillId="0" borderId="7" xfId="1" applyFont="1" applyFill="1" applyBorder="1" applyAlignment="1" applyProtection="1">
      <alignment horizontal="center" vertical="center" wrapText="1"/>
    </xf>
    <xf numFmtId="43" fontId="19" fillId="8" borderId="7" xfId="1" applyFont="1" applyFill="1" applyBorder="1" applyAlignment="1" applyProtection="1">
      <alignment horizontal="center" vertical="center" wrapText="1"/>
    </xf>
    <xf numFmtId="0" fontId="29" fillId="0" borderId="7" xfId="0" applyFont="1" applyBorder="1" applyAlignment="1">
      <alignment horizontal="right" vertical="center"/>
    </xf>
    <xf numFmtId="4" fontId="29" fillId="0" borderId="7" xfId="0" applyNumberFormat="1" applyFont="1" applyBorder="1" applyAlignment="1">
      <alignment horizontal="right" vertical="center"/>
    </xf>
    <xf numFmtId="43" fontId="21" fillId="6" borderId="7" xfId="1" applyFont="1" applyFill="1" applyBorder="1" applyAlignment="1" applyProtection="1">
      <alignment horizontal="center" vertical="center" wrapText="1"/>
    </xf>
    <xf numFmtId="2" fontId="18" fillId="0" borderId="15" xfId="0" applyNumberFormat="1" applyFont="1" applyBorder="1"/>
    <xf numFmtId="2" fontId="18" fillId="0" borderId="7" xfId="0" applyNumberFormat="1" applyFont="1" applyBorder="1"/>
    <xf numFmtId="164" fontId="4" fillId="0" borderId="8" xfId="1" applyNumberFormat="1" applyFont="1" applyFill="1" applyBorder="1" applyAlignment="1" applyProtection="1">
      <alignment horizontal="center" vertical="center"/>
    </xf>
    <xf numFmtId="0" fontId="27" fillId="4" borderId="7" xfId="0" applyFont="1" applyFill="1" applyBorder="1" applyAlignment="1" applyProtection="1">
      <alignment horizontal="center" vertical="justify" wrapText="1"/>
      <protection locked="0"/>
    </xf>
    <xf numFmtId="0" fontId="3" fillId="3" borderId="1" xfId="0" applyFont="1" applyFill="1" applyBorder="1" applyAlignment="1" applyProtection="1">
      <alignment horizontal="center" vertical="center" wrapText="1"/>
      <protection locked="0"/>
    </xf>
    <xf numFmtId="0" fontId="3" fillId="3" borderId="0" xfId="0" applyFont="1" applyFill="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43" fontId="4" fillId="2" borderId="7" xfId="1" applyFont="1" applyFill="1" applyBorder="1" applyAlignment="1" applyProtection="1">
      <alignment horizontal="center" vertical="center" wrapText="1"/>
    </xf>
    <xf numFmtId="164" fontId="4" fillId="2" borderId="7" xfId="1" applyNumberFormat="1" applyFont="1" applyFill="1" applyBorder="1" applyAlignment="1" applyProtection="1">
      <alignment horizontal="center" vertical="center" wrapText="1"/>
      <protection locked="0"/>
    </xf>
    <xf numFmtId="164" fontId="4" fillId="2" borderId="8" xfId="1" applyNumberFormat="1" applyFont="1" applyFill="1" applyBorder="1" applyAlignment="1" applyProtection="1">
      <alignment horizontal="center" vertical="center" wrapText="1"/>
    </xf>
  </cellXfs>
  <cellStyles count="4">
    <cellStyle name="Comma" xfId="1" builtinId="3"/>
    <cellStyle name="Normal" xfId="0" builtinId="0"/>
    <cellStyle name="Normal 4 4" xfId="3" xr:uid="{00000000-0005-0000-0000-000002000000}"/>
    <cellStyle name="常规 65 2" xfId="2" xr:uid="{00000000-0005-0000-0000-000003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A374"/>
  <sheetViews>
    <sheetView tabSelected="1" topLeftCell="A13" workbookViewId="0">
      <selection activeCell="J17" sqref="J17"/>
    </sheetView>
  </sheetViews>
  <sheetFormatPr defaultColWidth="8.90625" defaultRowHeight="12.5" x14ac:dyDescent="0.35"/>
  <cols>
    <col min="1" max="1" width="8.453125" style="213" customWidth="1"/>
    <col min="2" max="2" width="53.453125" style="97" customWidth="1"/>
    <col min="3" max="3" width="4.54296875" style="213" customWidth="1"/>
    <col min="4" max="4" width="10.453125" style="214" bestFit="1" customWidth="1"/>
    <col min="5" max="5" width="14.6328125" style="215" bestFit="1" customWidth="1"/>
    <col min="6" max="6" width="42.54296875" style="216" customWidth="1"/>
    <col min="7" max="7" width="8.90625" style="9"/>
    <col min="8" max="8" width="12.6328125" style="9" bestFit="1" customWidth="1"/>
    <col min="9" max="9" width="8.90625" style="9"/>
    <col min="10" max="10" width="11.36328125" style="9" bestFit="1" customWidth="1"/>
    <col min="11" max="11" width="8.90625" style="9"/>
    <col min="12" max="12" width="11.36328125" style="9" bestFit="1" customWidth="1"/>
    <col min="13" max="13" width="8.90625" style="9"/>
    <col min="14" max="14" width="11.36328125" style="9" bestFit="1" customWidth="1"/>
    <col min="15" max="16384" width="8.90625" style="9"/>
  </cols>
  <sheetData>
    <row r="1" spans="1:6" x14ac:dyDescent="0.35">
      <c r="A1" s="3"/>
      <c r="B1" s="4"/>
      <c r="C1" s="5"/>
      <c r="D1" s="6"/>
      <c r="E1" s="7"/>
      <c r="F1" s="8"/>
    </row>
    <row r="2" spans="1:6" x14ac:dyDescent="0.35">
      <c r="A2" s="3"/>
      <c r="B2" s="4" t="s">
        <v>0</v>
      </c>
      <c r="C2" s="5"/>
      <c r="D2" s="6"/>
      <c r="E2" s="7"/>
      <c r="F2" s="8"/>
    </row>
    <row r="3" spans="1:6" x14ac:dyDescent="0.35">
      <c r="A3" s="3"/>
      <c r="B3" s="4"/>
      <c r="C3" s="5"/>
      <c r="D3" s="6"/>
      <c r="E3" s="7"/>
      <c r="F3" s="8"/>
    </row>
    <row r="4" spans="1:6" x14ac:dyDescent="0.35">
      <c r="A4" s="3">
        <v>1</v>
      </c>
      <c r="B4" s="10" t="s">
        <v>1</v>
      </c>
      <c r="C4" s="5"/>
      <c r="D4" s="6"/>
      <c r="E4" s="7"/>
      <c r="F4" s="8"/>
    </row>
    <row r="5" spans="1:6" x14ac:dyDescent="0.35">
      <c r="A5" s="3"/>
      <c r="B5" s="10"/>
      <c r="C5" s="5"/>
      <c r="D5" s="6"/>
      <c r="E5" s="7"/>
      <c r="F5" s="8"/>
    </row>
    <row r="6" spans="1:6" x14ac:dyDescent="0.35">
      <c r="A6" s="3">
        <v>2</v>
      </c>
      <c r="B6" s="4" t="s">
        <v>2</v>
      </c>
      <c r="C6" s="11"/>
      <c r="D6" s="12"/>
      <c r="E6" s="13"/>
      <c r="F6" s="14"/>
    </row>
    <row r="7" spans="1:6" x14ac:dyDescent="0.35">
      <c r="A7" s="3"/>
      <c r="B7" s="15"/>
      <c r="C7" s="11"/>
      <c r="D7" s="16"/>
      <c r="E7" s="17"/>
      <c r="F7" s="18"/>
    </row>
    <row r="8" spans="1:6" x14ac:dyDescent="0.35">
      <c r="A8" s="3">
        <v>3</v>
      </c>
      <c r="B8" s="4" t="s">
        <v>3</v>
      </c>
      <c r="C8" s="5"/>
      <c r="D8" s="6"/>
      <c r="E8" s="7"/>
      <c r="F8" s="8"/>
    </row>
    <row r="9" spans="1:6" x14ac:dyDescent="0.35">
      <c r="A9" s="3"/>
      <c r="B9" s="4"/>
      <c r="C9" s="5"/>
      <c r="D9" s="6"/>
      <c r="E9" s="7"/>
      <c r="F9" s="8"/>
    </row>
    <row r="10" spans="1:6" x14ac:dyDescent="0.35">
      <c r="A10" s="3">
        <v>4</v>
      </c>
      <c r="B10" s="4" t="s">
        <v>4</v>
      </c>
      <c r="C10" s="5"/>
      <c r="D10" s="6"/>
      <c r="E10" s="7"/>
      <c r="F10" s="8"/>
    </row>
    <row r="11" spans="1:6" x14ac:dyDescent="0.35">
      <c r="A11" s="3"/>
      <c r="B11" s="4"/>
      <c r="C11" s="5"/>
      <c r="D11" s="6"/>
      <c r="E11" s="7"/>
      <c r="F11" s="8"/>
    </row>
    <row r="12" spans="1:6" s="25" customFormat="1" ht="6" customHeight="1" x14ac:dyDescent="0.35">
      <c r="A12" s="19"/>
      <c r="B12" s="20"/>
      <c r="C12" s="21"/>
      <c r="D12" s="22"/>
      <c r="E12" s="23"/>
      <c r="F12" s="24"/>
    </row>
    <row r="13" spans="1:6" ht="30.75" customHeight="1" x14ac:dyDescent="0.35">
      <c r="A13" s="287" t="s">
        <v>460</v>
      </c>
      <c r="B13" s="288"/>
      <c r="C13" s="288"/>
      <c r="D13" s="288"/>
      <c r="E13" s="288"/>
      <c r="F13" s="289"/>
    </row>
    <row r="14" spans="1:6" ht="18" customHeight="1" thickBot="1" x14ac:dyDescent="0.4">
      <c r="A14" s="290" t="s">
        <v>5</v>
      </c>
      <c r="B14" s="291"/>
      <c r="C14" s="291"/>
      <c r="D14" s="291"/>
      <c r="E14" s="291"/>
      <c r="F14" s="292"/>
    </row>
    <row r="15" spans="1:6" ht="13" x14ac:dyDescent="0.35">
      <c r="A15" s="26" t="s">
        <v>6</v>
      </c>
      <c r="B15" s="27" t="s">
        <v>7</v>
      </c>
      <c r="C15" s="28" t="s">
        <v>8</v>
      </c>
      <c r="D15" s="29" t="s">
        <v>9</v>
      </c>
      <c r="E15" s="30" t="s">
        <v>10</v>
      </c>
      <c r="F15" s="31" t="s">
        <v>11</v>
      </c>
    </row>
    <row r="16" spans="1:6" ht="13" x14ac:dyDescent="0.35">
      <c r="A16" s="26"/>
      <c r="B16" s="32"/>
      <c r="C16" s="28"/>
      <c r="D16" s="29"/>
      <c r="E16" s="30"/>
      <c r="F16" s="31"/>
    </row>
    <row r="17" spans="1:8" ht="13" x14ac:dyDescent="0.35">
      <c r="A17" s="33">
        <v>1</v>
      </c>
      <c r="B17" s="34" t="s">
        <v>1</v>
      </c>
      <c r="C17" s="35"/>
      <c r="D17" s="36"/>
      <c r="E17" s="37"/>
      <c r="F17" s="38"/>
    </row>
    <row r="18" spans="1:8" ht="112.5" x14ac:dyDescent="0.35">
      <c r="A18" s="39">
        <v>1.1000000000000001</v>
      </c>
      <c r="B18" s="40" t="s">
        <v>12</v>
      </c>
      <c r="C18" s="39" t="s">
        <v>13</v>
      </c>
      <c r="D18" s="250">
        <v>1</v>
      </c>
      <c r="E18" s="41"/>
      <c r="F18" s="217">
        <f>D18*E18</f>
        <v>0</v>
      </c>
      <c r="H18" s="42"/>
    </row>
    <row r="19" spans="1:8" ht="25" x14ac:dyDescent="0.35">
      <c r="A19" s="39">
        <v>1.2</v>
      </c>
      <c r="B19" s="40" t="s">
        <v>14</v>
      </c>
      <c r="C19" s="39" t="s">
        <v>15</v>
      </c>
      <c r="D19" s="250">
        <v>3</v>
      </c>
      <c r="E19" s="41"/>
      <c r="F19" s="217">
        <f>D19*E19</f>
        <v>0</v>
      </c>
    </row>
    <row r="20" spans="1:8" ht="37.5" x14ac:dyDescent="0.35">
      <c r="A20" s="39">
        <v>1.3</v>
      </c>
      <c r="B20" s="40" t="s">
        <v>16</v>
      </c>
      <c r="C20" s="39" t="s">
        <v>17</v>
      </c>
      <c r="D20" s="219">
        <v>10.94</v>
      </c>
      <c r="E20" s="41"/>
      <c r="F20" s="217">
        <f>D20*E20</f>
        <v>0</v>
      </c>
    </row>
    <row r="21" spans="1:8" x14ac:dyDescent="0.35">
      <c r="A21" s="44"/>
      <c r="B21" s="45"/>
      <c r="C21" s="46"/>
      <c r="D21" s="219"/>
      <c r="E21" s="41"/>
      <c r="F21" s="47"/>
    </row>
    <row r="22" spans="1:8" ht="13" x14ac:dyDescent="0.35">
      <c r="A22" s="48"/>
      <c r="B22" s="49" t="s">
        <v>18</v>
      </c>
      <c r="C22" s="50"/>
      <c r="D22" s="251"/>
      <c r="E22" s="51"/>
      <c r="F22" s="218">
        <f>SUM(F18:F20)</f>
        <v>0</v>
      </c>
    </row>
    <row r="23" spans="1:8" ht="12" customHeight="1" x14ac:dyDescent="0.35">
      <c r="A23" s="53"/>
      <c r="B23" s="54"/>
      <c r="C23" s="55"/>
      <c r="D23" s="252"/>
      <c r="E23" s="56"/>
      <c r="F23" s="57"/>
    </row>
    <row r="24" spans="1:8" ht="13" x14ac:dyDescent="0.35">
      <c r="A24" s="48"/>
      <c r="B24" s="49"/>
      <c r="C24" s="50"/>
      <c r="D24" s="253"/>
      <c r="E24" s="51"/>
      <c r="F24" s="52"/>
    </row>
    <row r="25" spans="1:8" ht="13" x14ac:dyDescent="0.35">
      <c r="A25" s="33">
        <v>2</v>
      </c>
      <c r="B25" s="34" t="s">
        <v>19</v>
      </c>
      <c r="C25" s="35"/>
      <c r="D25" s="254"/>
      <c r="E25" s="37"/>
      <c r="F25" s="38"/>
    </row>
    <row r="26" spans="1:8" ht="13" x14ac:dyDescent="0.35">
      <c r="A26" s="58"/>
      <c r="B26" s="59"/>
      <c r="C26" s="60"/>
      <c r="D26" s="255"/>
      <c r="E26" s="61"/>
      <c r="F26" s="62"/>
    </row>
    <row r="27" spans="1:8" ht="13" x14ac:dyDescent="0.35">
      <c r="A27" s="26"/>
      <c r="B27" s="63" t="s">
        <v>20</v>
      </c>
      <c r="C27" s="39"/>
      <c r="D27" s="232"/>
      <c r="E27" s="64"/>
      <c r="F27" s="65"/>
    </row>
    <row r="28" spans="1:8" x14ac:dyDescent="0.35">
      <c r="A28" s="66"/>
      <c r="B28" s="67"/>
      <c r="C28" s="39"/>
      <c r="D28" s="256"/>
      <c r="E28" s="41"/>
      <c r="F28" s="68"/>
    </row>
    <row r="29" spans="1:8" ht="25" x14ac:dyDescent="0.35">
      <c r="A29" s="66">
        <v>2.1</v>
      </c>
      <c r="B29" s="67" t="s">
        <v>21</v>
      </c>
      <c r="C29" s="39"/>
      <c r="D29" s="256"/>
      <c r="E29" s="41"/>
      <c r="F29" s="68"/>
    </row>
    <row r="30" spans="1:8" x14ac:dyDescent="0.35">
      <c r="A30" s="66"/>
      <c r="B30" s="67"/>
      <c r="C30" s="39"/>
      <c r="D30" s="256"/>
      <c r="E30" s="41"/>
      <c r="F30" s="68"/>
    </row>
    <row r="31" spans="1:8" ht="25" x14ac:dyDescent="0.35">
      <c r="A31" s="66">
        <v>2.2000000000000002</v>
      </c>
      <c r="B31" s="67" t="s">
        <v>22</v>
      </c>
      <c r="C31" s="39"/>
      <c r="D31" s="256"/>
      <c r="E31" s="41"/>
      <c r="F31" s="68"/>
    </row>
    <row r="32" spans="1:8" ht="13" x14ac:dyDescent="0.35">
      <c r="A32" s="69"/>
      <c r="B32" s="70"/>
      <c r="C32" s="60"/>
      <c r="D32" s="257"/>
      <c r="E32" s="71"/>
      <c r="F32" s="72"/>
    </row>
    <row r="33" spans="1:8" ht="13" x14ac:dyDescent="0.35">
      <c r="A33" s="26">
        <v>2.1</v>
      </c>
      <c r="B33" s="63" t="s">
        <v>23</v>
      </c>
      <c r="C33" s="39"/>
      <c r="D33" s="232"/>
      <c r="E33" s="64"/>
      <c r="F33" s="65"/>
    </row>
    <row r="34" spans="1:8" ht="13" x14ac:dyDescent="0.35">
      <c r="A34" s="26"/>
      <c r="B34" s="63"/>
      <c r="C34" s="39"/>
      <c r="D34" s="232"/>
      <c r="E34" s="64"/>
      <c r="F34" s="73"/>
      <c r="H34" s="74"/>
    </row>
    <row r="35" spans="1:8" s="74" customFormat="1" ht="25" x14ac:dyDescent="0.35">
      <c r="A35" s="66" t="s">
        <v>24</v>
      </c>
      <c r="B35" s="2" t="s">
        <v>25</v>
      </c>
      <c r="C35" s="75" t="s">
        <v>26</v>
      </c>
      <c r="D35" s="221">
        <v>10936.66</v>
      </c>
      <c r="E35" s="43"/>
      <c r="F35" s="220">
        <f>E35*D35</f>
        <v>0</v>
      </c>
      <c r="H35" s="9"/>
    </row>
    <row r="36" spans="1:8" ht="37.5" x14ac:dyDescent="0.35">
      <c r="A36" s="66" t="s">
        <v>27</v>
      </c>
      <c r="B36" s="2" t="s">
        <v>28</v>
      </c>
      <c r="C36" s="75" t="s">
        <v>29</v>
      </c>
      <c r="D36" s="219">
        <f>D35/100</f>
        <v>109.36660000000001</v>
      </c>
      <c r="E36" s="43"/>
      <c r="F36" s="220">
        <f>E36*D36</f>
        <v>0</v>
      </c>
    </row>
    <row r="37" spans="1:8" ht="13" x14ac:dyDescent="0.35">
      <c r="A37" s="48"/>
      <c r="B37" s="49" t="s">
        <v>30</v>
      </c>
      <c r="C37" s="50"/>
      <c r="D37" s="251"/>
      <c r="E37" s="51"/>
      <c r="F37" s="218">
        <f>SUM(F35:F36)</f>
        <v>0</v>
      </c>
    </row>
    <row r="38" spans="1:8" ht="13" x14ac:dyDescent="0.35">
      <c r="A38" s="69"/>
      <c r="B38" s="70"/>
      <c r="C38" s="60"/>
      <c r="D38" s="258"/>
      <c r="E38" s="71"/>
      <c r="F38" s="72"/>
    </row>
    <row r="39" spans="1:8" ht="15" x14ac:dyDescent="0.35">
      <c r="A39" s="26">
        <v>2.2000000000000002</v>
      </c>
      <c r="B39" s="63" t="s">
        <v>19</v>
      </c>
      <c r="C39" s="39"/>
      <c r="D39" s="232"/>
      <c r="E39" s="64"/>
      <c r="F39" s="65"/>
      <c r="H39" s="78"/>
    </row>
    <row r="40" spans="1:8" s="79" customFormat="1" ht="15" x14ac:dyDescent="0.35">
      <c r="A40" s="26"/>
      <c r="B40" s="63"/>
      <c r="C40" s="39"/>
      <c r="D40" s="221"/>
      <c r="E40" s="64"/>
      <c r="F40" s="73"/>
      <c r="H40" s="80"/>
    </row>
    <row r="41" spans="1:8" s="79" customFormat="1" ht="15" x14ac:dyDescent="0.35">
      <c r="A41" s="81" t="s">
        <v>31</v>
      </c>
      <c r="B41" s="82" t="s">
        <v>32</v>
      </c>
      <c r="C41" s="83" t="s">
        <v>26</v>
      </c>
      <c r="D41" s="259">
        <v>1633.4</v>
      </c>
      <c r="E41" s="1"/>
      <c r="F41" s="285">
        <f t="shared" ref="F41:F51" si="0">D41*E41</f>
        <v>0</v>
      </c>
    </row>
    <row r="42" spans="1:8" s="79" customFormat="1" ht="15" x14ac:dyDescent="0.35">
      <c r="A42" s="81" t="s">
        <v>33</v>
      </c>
      <c r="B42" s="82" t="s">
        <v>34</v>
      </c>
      <c r="C42" s="83" t="s">
        <v>26</v>
      </c>
      <c r="D42" s="259">
        <v>410.4</v>
      </c>
      <c r="E42" s="1"/>
      <c r="F42" s="285">
        <f t="shared" si="0"/>
        <v>0</v>
      </c>
      <c r="H42" s="78"/>
    </row>
    <row r="43" spans="1:8" s="79" customFormat="1" ht="15" x14ac:dyDescent="0.35">
      <c r="A43" s="81" t="s">
        <v>35</v>
      </c>
      <c r="B43" s="82" t="s">
        <v>36</v>
      </c>
      <c r="C43" s="83" t="s">
        <v>26</v>
      </c>
      <c r="D43" s="259">
        <v>589.79999999999995</v>
      </c>
      <c r="E43" s="1"/>
      <c r="F43" s="285">
        <f t="shared" si="0"/>
        <v>0</v>
      </c>
      <c r="H43" s="78"/>
    </row>
    <row r="44" spans="1:8" s="79" customFormat="1" ht="15" x14ac:dyDescent="0.35">
      <c r="A44" s="81" t="s">
        <v>37</v>
      </c>
      <c r="B44" s="82" t="s">
        <v>38</v>
      </c>
      <c r="C44" s="83" t="s">
        <v>26</v>
      </c>
      <c r="D44" s="259">
        <v>2807.9</v>
      </c>
      <c r="E44" s="1"/>
      <c r="F44" s="285">
        <f t="shared" si="0"/>
        <v>0</v>
      </c>
      <c r="H44" s="74"/>
    </row>
    <row r="45" spans="1:8" s="74" customFormat="1" ht="15" x14ac:dyDescent="0.35">
      <c r="A45" s="81" t="s">
        <v>39</v>
      </c>
      <c r="B45" s="82" t="s">
        <v>40</v>
      </c>
      <c r="C45" s="83" t="s">
        <v>26</v>
      </c>
      <c r="D45" s="259">
        <v>5160.3999999999996</v>
      </c>
      <c r="E45" s="1"/>
      <c r="F45" s="285">
        <f t="shared" si="0"/>
        <v>0</v>
      </c>
    </row>
    <row r="46" spans="1:8" ht="15" x14ac:dyDescent="0.35">
      <c r="A46" s="81" t="s">
        <v>41</v>
      </c>
      <c r="B46" s="82" t="s">
        <v>42</v>
      </c>
      <c r="C46" s="83" t="s">
        <v>26</v>
      </c>
      <c r="D46" s="259">
        <v>334.76</v>
      </c>
      <c r="E46" s="1"/>
      <c r="F46" s="285">
        <f t="shared" si="0"/>
        <v>0</v>
      </c>
    </row>
    <row r="47" spans="1:8" ht="15.5" x14ac:dyDescent="0.35">
      <c r="A47" s="81" t="s">
        <v>43</v>
      </c>
      <c r="B47" s="84" t="s">
        <v>44</v>
      </c>
      <c r="C47" s="39" t="s">
        <v>26</v>
      </c>
      <c r="D47" s="221">
        <v>19</v>
      </c>
      <c r="E47" s="1"/>
      <c r="F47" s="285">
        <f t="shared" si="0"/>
        <v>0</v>
      </c>
    </row>
    <row r="48" spans="1:8" ht="15.5" x14ac:dyDescent="0.35">
      <c r="A48" s="81" t="s">
        <v>45</v>
      </c>
      <c r="B48" s="84" t="s">
        <v>46</v>
      </c>
      <c r="C48" s="85" t="s">
        <v>26</v>
      </c>
      <c r="D48" s="221">
        <v>88.24</v>
      </c>
      <c r="E48" s="1"/>
      <c r="F48" s="285">
        <f>D48*E48</f>
        <v>0</v>
      </c>
    </row>
    <row r="49" spans="1:6" ht="15" x14ac:dyDescent="0.35">
      <c r="A49" s="81" t="s">
        <v>47</v>
      </c>
      <c r="B49" s="67" t="s">
        <v>48</v>
      </c>
      <c r="C49" s="39" t="s">
        <v>49</v>
      </c>
      <c r="D49" s="221">
        <f>0.5*0.6*2.5*7</f>
        <v>5.25</v>
      </c>
      <c r="E49" s="1"/>
      <c r="F49" s="285">
        <f>D49*E49</f>
        <v>0</v>
      </c>
    </row>
    <row r="50" spans="1:6" ht="15" x14ac:dyDescent="0.35">
      <c r="A50" s="81" t="s">
        <v>50</v>
      </c>
      <c r="B50" s="67" t="s">
        <v>51</v>
      </c>
      <c r="C50" s="39" t="s">
        <v>26</v>
      </c>
      <c r="D50" s="221">
        <v>10936.66</v>
      </c>
      <c r="E50" s="1"/>
      <c r="F50" s="285">
        <f t="shared" si="0"/>
        <v>0</v>
      </c>
    </row>
    <row r="51" spans="1:6" ht="15" x14ac:dyDescent="0.35">
      <c r="A51" s="81" t="s">
        <v>52</v>
      </c>
      <c r="B51" s="67" t="s">
        <v>53</v>
      </c>
      <c r="C51" s="39" t="s">
        <v>26</v>
      </c>
      <c r="D51" s="221">
        <v>10936.66</v>
      </c>
      <c r="E51" s="1"/>
      <c r="F51" s="285">
        <f t="shared" si="0"/>
        <v>0</v>
      </c>
    </row>
    <row r="52" spans="1:6" ht="13" x14ac:dyDescent="0.35">
      <c r="A52" s="48"/>
      <c r="B52" s="49" t="s">
        <v>54</v>
      </c>
      <c r="C52" s="50"/>
      <c r="D52" s="251"/>
      <c r="E52" s="51"/>
      <c r="F52" s="218">
        <f>SUM(F41:F51)</f>
        <v>0</v>
      </c>
    </row>
    <row r="53" spans="1:6" ht="15" x14ac:dyDescent="0.35">
      <c r="A53" s="86"/>
      <c r="B53" s="87"/>
      <c r="C53" s="88"/>
      <c r="D53" s="260"/>
      <c r="E53" s="89"/>
      <c r="F53" s="65"/>
    </row>
    <row r="54" spans="1:6" ht="13" x14ac:dyDescent="0.35">
      <c r="A54" s="48"/>
      <c r="B54" s="49" t="s">
        <v>55</v>
      </c>
      <c r="C54" s="50"/>
      <c r="D54" s="251"/>
      <c r="E54" s="51"/>
      <c r="F54" s="218">
        <f>SUM(F52,F37)</f>
        <v>0</v>
      </c>
    </row>
    <row r="55" spans="1:6" x14ac:dyDescent="0.35">
      <c r="A55" s="66"/>
      <c r="B55" s="67"/>
      <c r="C55" s="39"/>
      <c r="D55" s="232"/>
      <c r="E55" s="64"/>
      <c r="F55" s="73"/>
    </row>
    <row r="56" spans="1:6" ht="13" x14ac:dyDescent="0.35">
      <c r="A56" s="33">
        <v>3</v>
      </c>
      <c r="B56" s="34" t="s">
        <v>3</v>
      </c>
      <c r="C56" s="35"/>
      <c r="D56" s="254"/>
      <c r="E56" s="37"/>
      <c r="F56" s="38"/>
    </row>
    <row r="57" spans="1:6" ht="13" x14ac:dyDescent="0.35">
      <c r="A57" s="26"/>
      <c r="B57" s="63"/>
      <c r="C57" s="39"/>
      <c r="D57" s="232"/>
      <c r="E57" s="64"/>
      <c r="F57" s="73"/>
    </row>
    <row r="58" spans="1:6" ht="13" x14ac:dyDescent="0.35">
      <c r="A58" s="26">
        <v>3.1</v>
      </c>
      <c r="B58" s="63" t="s">
        <v>56</v>
      </c>
      <c r="C58" s="39"/>
      <c r="D58" s="232"/>
      <c r="E58" s="64"/>
      <c r="F58" s="65"/>
    </row>
    <row r="59" spans="1:6" ht="13" x14ac:dyDescent="0.35">
      <c r="A59" s="90"/>
      <c r="B59" s="91"/>
      <c r="C59" s="75"/>
      <c r="D59" s="223"/>
      <c r="E59" s="43"/>
      <c r="F59" s="77"/>
    </row>
    <row r="60" spans="1:6" ht="26" x14ac:dyDescent="0.35">
      <c r="A60" s="26" t="s">
        <v>57</v>
      </c>
      <c r="B60" s="63" t="s">
        <v>408</v>
      </c>
      <c r="C60" s="39"/>
      <c r="D60" s="232"/>
      <c r="E60" s="64"/>
      <c r="F60" s="65"/>
    </row>
    <row r="61" spans="1:6" ht="25" x14ac:dyDescent="0.35">
      <c r="A61" s="92" t="s">
        <v>58</v>
      </c>
      <c r="B61" s="2" t="s">
        <v>59</v>
      </c>
      <c r="C61" s="75" t="s">
        <v>49</v>
      </c>
      <c r="D61" s="223">
        <f xml:space="preserve"> (1+2)*(1+2)*1*1.05</f>
        <v>9.4500000000000011</v>
      </c>
      <c r="E61" s="43"/>
      <c r="F61" s="220">
        <f t="shared" ref="F61:F70" si="1">D61*E61</f>
        <v>0</v>
      </c>
    </row>
    <row r="62" spans="1:6" ht="25" x14ac:dyDescent="0.35">
      <c r="A62" s="92" t="s">
        <v>60</v>
      </c>
      <c r="B62" s="2" t="s">
        <v>61</v>
      </c>
      <c r="C62" s="75" t="s">
        <v>49</v>
      </c>
      <c r="D62" s="223">
        <f xml:space="preserve"> (2)*(2)*0.3*1.05</f>
        <v>1.26</v>
      </c>
      <c r="E62" s="43"/>
      <c r="F62" s="220">
        <f t="shared" si="1"/>
        <v>0</v>
      </c>
    </row>
    <row r="63" spans="1:6" ht="14.5" x14ac:dyDescent="0.35">
      <c r="A63" s="92" t="s">
        <v>62</v>
      </c>
      <c r="B63" s="2" t="s">
        <v>464</v>
      </c>
      <c r="C63" s="75" t="s">
        <v>49</v>
      </c>
      <c r="D63" s="223">
        <f xml:space="preserve"> (2)*(2)*0.05*1.05</f>
        <v>0.21000000000000002</v>
      </c>
      <c r="E63" s="43"/>
      <c r="F63" s="220">
        <f t="shared" si="1"/>
        <v>0</v>
      </c>
    </row>
    <row r="64" spans="1:6" ht="25" x14ac:dyDescent="0.35">
      <c r="A64" s="92" t="s">
        <v>63</v>
      </c>
      <c r="B64" s="2" t="s">
        <v>465</v>
      </c>
      <c r="C64" s="75" t="s">
        <v>49</v>
      </c>
      <c r="D64" s="223">
        <f xml:space="preserve"> (1.8)*(1.8)*0.15*1.05</f>
        <v>0.51029999999999998</v>
      </c>
      <c r="E64" s="43"/>
      <c r="F64" s="220">
        <f t="shared" si="1"/>
        <v>0</v>
      </c>
    </row>
    <row r="65" spans="1:131" ht="25" x14ac:dyDescent="0.35">
      <c r="A65" s="92" t="s">
        <v>64</v>
      </c>
      <c r="B65" s="2" t="s">
        <v>466</v>
      </c>
      <c r="C65" s="75" t="s">
        <v>49</v>
      </c>
      <c r="D65" s="223">
        <f xml:space="preserve"> ((1.8)*(1.8)*0.15  -  (0.6*0.6)*0.15)*1.05</f>
        <v>0.4536</v>
      </c>
      <c r="E65" s="43"/>
      <c r="F65" s="220">
        <f t="shared" si="1"/>
        <v>0</v>
      </c>
    </row>
    <row r="66" spans="1:131" ht="25" x14ac:dyDescent="0.35">
      <c r="A66" s="92" t="s">
        <v>65</v>
      </c>
      <c r="B66" s="2" t="s">
        <v>467</v>
      </c>
      <c r="C66" s="75" t="s">
        <v>49</v>
      </c>
      <c r="D66" s="223">
        <f xml:space="preserve"> 0.2*(2*(1.4+1.4)*1.2)*1.05</f>
        <v>1.4112000000000002</v>
      </c>
      <c r="E66" s="43"/>
      <c r="F66" s="220">
        <f t="shared" si="1"/>
        <v>0</v>
      </c>
    </row>
    <row r="67" spans="1:131" ht="25" x14ac:dyDescent="0.35">
      <c r="A67" s="92" t="s">
        <v>66</v>
      </c>
      <c r="B67" s="2" t="s">
        <v>491</v>
      </c>
      <c r="C67" s="75" t="s">
        <v>68</v>
      </c>
      <c r="D67" s="223">
        <f>2*(1.2+1.2)*1.2*1.05</f>
        <v>6.048</v>
      </c>
      <c r="E67" s="43"/>
      <c r="F67" s="220">
        <f t="shared" si="1"/>
        <v>0</v>
      </c>
    </row>
    <row r="68" spans="1:131" ht="25" x14ac:dyDescent="0.35">
      <c r="A68" s="92" t="s">
        <v>69</v>
      </c>
      <c r="B68" s="2" t="s">
        <v>468</v>
      </c>
      <c r="C68" s="75" t="s">
        <v>68</v>
      </c>
      <c r="D68" s="223">
        <f>((1.8)*(1.8)   -  (0.6*0.6))*1.05</f>
        <v>3.0240000000000005</v>
      </c>
      <c r="E68" s="43"/>
      <c r="F68" s="220">
        <f t="shared" si="1"/>
        <v>0</v>
      </c>
    </row>
    <row r="69" spans="1:131" ht="25" x14ac:dyDescent="0.35">
      <c r="A69" s="92" t="s">
        <v>70</v>
      </c>
      <c r="B69" s="2" t="s">
        <v>71</v>
      </c>
      <c r="C69" s="75" t="s">
        <v>68</v>
      </c>
      <c r="D69" s="223">
        <f>2*(1.6+1.6)*0.2*1.05</f>
        <v>1.3440000000000003</v>
      </c>
      <c r="E69" s="43"/>
      <c r="F69" s="220">
        <f t="shared" si="1"/>
        <v>0</v>
      </c>
      <c r="H69" s="93"/>
    </row>
    <row r="70" spans="1:131" ht="25" x14ac:dyDescent="0.35">
      <c r="A70" s="92" t="s">
        <v>72</v>
      </c>
      <c r="B70" s="2" t="s">
        <v>73</v>
      </c>
      <c r="C70" s="75" t="s">
        <v>74</v>
      </c>
      <c r="D70" s="223">
        <v>1</v>
      </c>
      <c r="E70" s="43"/>
      <c r="F70" s="220">
        <f t="shared" si="1"/>
        <v>0</v>
      </c>
    </row>
    <row r="71" spans="1:131" ht="37.5" x14ac:dyDescent="0.35">
      <c r="A71" s="92" t="s">
        <v>75</v>
      </c>
      <c r="B71" s="2" t="s">
        <v>76</v>
      </c>
      <c r="C71" s="75" t="s">
        <v>26</v>
      </c>
      <c r="D71" s="223">
        <v>3.6</v>
      </c>
      <c r="E71" s="43"/>
      <c r="F71" s="220">
        <f>D71*E71</f>
        <v>0</v>
      </c>
    </row>
    <row r="72" spans="1:131" ht="25" x14ac:dyDescent="0.35">
      <c r="A72" s="92" t="s">
        <v>77</v>
      </c>
      <c r="B72" s="2" t="s">
        <v>78</v>
      </c>
      <c r="C72" s="75" t="s">
        <v>13</v>
      </c>
      <c r="D72" s="223">
        <v>1</v>
      </c>
      <c r="E72" s="43"/>
      <c r="F72" s="220">
        <f>E72*D72</f>
        <v>0</v>
      </c>
    </row>
    <row r="73" spans="1:131" ht="13" x14ac:dyDescent="0.35">
      <c r="A73" s="48"/>
      <c r="B73" s="49" t="s">
        <v>79</v>
      </c>
      <c r="C73" s="50"/>
      <c r="D73" s="251"/>
      <c r="E73" s="51"/>
      <c r="F73" s="218">
        <f>SUM(F61:F72)</f>
        <v>0</v>
      </c>
    </row>
    <row r="74" spans="1:131" ht="13" x14ac:dyDescent="0.35">
      <c r="A74" s="48"/>
      <c r="B74" s="94" t="s">
        <v>80</v>
      </c>
      <c r="C74" s="50"/>
      <c r="D74" s="261">
        <v>1</v>
      </c>
      <c r="E74" s="51"/>
      <c r="F74" s="218">
        <f>F73*D74</f>
        <v>0</v>
      </c>
    </row>
    <row r="75" spans="1:131" ht="13" x14ac:dyDescent="0.35">
      <c r="A75" s="26"/>
      <c r="B75" s="27"/>
      <c r="C75" s="39"/>
      <c r="D75" s="232"/>
      <c r="E75" s="64"/>
      <c r="F75" s="73"/>
    </row>
    <row r="76" spans="1:131" ht="26" x14ac:dyDescent="0.35">
      <c r="A76" s="26" t="s">
        <v>81</v>
      </c>
      <c r="B76" s="63" t="s">
        <v>409</v>
      </c>
      <c r="C76" s="39"/>
      <c r="D76" s="232"/>
      <c r="E76" s="64"/>
      <c r="F76" s="65"/>
    </row>
    <row r="77" spans="1:131" ht="25" x14ac:dyDescent="0.35">
      <c r="A77" s="92" t="s">
        <v>82</v>
      </c>
      <c r="B77" s="2" t="s">
        <v>59</v>
      </c>
      <c r="C77" s="75" t="s">
        <v>49</v>
      </c>
      <c r="D77" s="223">
        <f xml:space="preserve"> (1+2)*(1+2)*1*1.05</f>
        <v>9.4500000000000011</v>
      </c>
      <c r="E77" s="43"/>
      <c r="F77" s="220">
        <f t="shared" ref="F77:F87" si="2">D77*E77</f>
        <v>0</v>
      </c>
      <c r="H77" s="93"/>
    </row>
    <row r="78" spans="1:131" ht="25" x14ac:dyDescent="0.35">
      <c r="A78" s="92" t="s">
        <v>83</v>
      </c>
      <c r="B78" s="2" t="s">
        <v>61</v>
      </c>
      <c r="C78" s="75" t="s">
        <v>49</v>
      </c>
      <c r="D78" s="223">
        <f xml:space="preserve"> (2)*(2)*0.3*1.05</f>
        <v>1.26</v>
      </c>
      <c r="E78" s="43"/>
      <c r="F78" s="220">
        <f t="shared" si="2"/>
        <v>0</v>
      </c>
      <c r="H78" s="93"/>
    </row>
    <row r="79" spans="1:131" ht="14.5" x14ac:dyDescent="0.35">
      <c r="A79" s="92" t="s">
        <v>84</v>
      </c>
      <c r="B79" s="2" t="s">
        <v>464</v>
      </c>
      <c r="C79" s="75" t="s">
        <v>49</v>
      </c>
      <c r="D79" s="223">
        <f xml:space="preserve"> (2)*(2)*0.05*1.05</f>
        <v>0.21000000000000002</v>
      </c>
      <c r="E79" s="43"/>
      <c r="F79" s="220">
        <f t="shared" si="2"/>
        <v>0</v>
      </c>
    </row>
    <row r="80" spans="1:131" ht="25" x14ac:dyDescent="0.35">
      <c r="A80" s="92" t="s">
        <v>85</v>
      </c>
      <c r="B80" s="2" t="s">
        <v>465</v>
      </c>
      <c r="C80" s="75" t="s">
        <v>49</v>
      </c>
      <c r="D80" s="223">
        <f xml:space="preserve"> (1.8)*(1.8)*0.15*1.05</f>
        <v>0.51029999999999998</v>
      </c>
      <c r="E80" s="43"/>
      <c r="F80" s="220">
        <f t="shared" si="2"/>
        <v>0</v>
      </c>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DE80" s="74"/>
      <c r="DF80" s="74"/>
      <c r="DG80" s="74"/>
      <c r="DH80" s="74"/>
      <c r="DI80" s="74"/>
      <c r="DJ80" s="74"/>
      <c r="DK80" s="74"/>
      <c r="DL80" s="74"/>
      <c r="DM80" s="74"/>
      <c r="DN80" s="74"/>
      <c r="DO80" s="74"/>
      <c r="DP80" s="74"/>
      <c r="DQ80" s="74"/>
      <c r="DR80" s="74"/>
      <c r="DS80" s="74"/>
      <c r="DT80" s="74"/>
      <c r="DU80" s="74"/>
      <c r="DV80" s="74"/>
      <c r="DW80" s="74"/>
      <c r="DX80" s="74"/>
      <c r="DY80" s="74"/>
      <c r="DZ80" s="74"/>
      <c r="EA80" s="74"/>
    </row>
    <row r="81" spans="1:6" ht="25" x14ac:dyDescent="0.35">
      <c r="A81" s="92" t="s">
        <v>86</v>
      </c>
      <c r="B81" s="2" t="s">
        <v>466</v>
      </c>
      <c r="C81" s="75" t="s">
        <v>49</v>
      </c>
      <c r="D81" s="223">
        <f xml:space="preserve"> ((1.8)*(1.8)*0.15  -  (0.6*0.6)*0.15)*1.05</f>
        <v>0.4536</v>
      </c>
      <c r="E81" s="43"/>
      <c r="F81" s="220">
        <f t="shared" si="2"/>
        <v>0</v>
      </c>
    </row>
    <row r="82" spans="1:6" ht="25" x14ac:dyDescent="0.35">
      <c r="A82" s="92" t="s">
        <v>87</v>
      </c>
      <c r="B82" s="2" t="s">
        <v>467</v>
      </c>
      <c r="C82" s="75" t="s">
        <v>49</v>
      </c>
      <c r="D82" s="223">
        <f xml:space="preserve"> 0.2*(2*(1.4+1.4)*1.2)*1.05</f>
        <v>1.4112000000000002</v>
      </c>
      <c r="E82" s="43"/>
      <c r="F82" s="220">
        <f t="shared" si="2"/>
        <v>0</v>
      </c>
    </row>
    <row r="83" spans="1:6" ht="25" x14ac:dyDescent="0.35">
      <c r="A83" s="92" t="s">
        <v>88</v>
      </c>
      <c r="B83" s="2" t="s">
        <v>67</v>
      </c>
      <c r="C83" s="75" t="s">
        <v>68</v>
      </c>
      <c r="D83" s="223">
        <f>2*(1.2+1.2)*1.2*1.05</f>
        <v>6.048</v>
      </c>
      <c r="E83" s="43"/>
      <c r="F83" s="220">
        <f t="shared" si="2"/>
        <v>0</v>
      </c>
    </row>
    <row r="84" spans="1:6" ht="25" x14ac:dyDescent="0.35">
      <c r="A84" s="92" t="s">
        <v>89</v>
      </c>
      <c r="B84" s="2" t="s">
        <v>469</v>
      </c>
      <c r="C84" s="75" t="s">
        <v>68</v>
      </c>
      <c r="D84" s="223">
        <f>((1.8)*(1.8)   -  (0.6*0.6))*1.05</f>
        <v>3.0240000000000005</v>
      </c>
      <c r="E84" s="43"/>
      <c r="F84" s="220">
        <f t="shared" si="2"/>
        <v>0</v>
      </c>
    </row>
    <row r="85" spans="1:6" ht="25" x14ac:dyDescent="0.35">
      <c r="A85" s="92" t="s">
        <v>90</v>
      </c>
      <c r="B85" s="2" t="s">
        <v>71</v>
      </c>
      <c r="C85" s="75" t="s">
        <v>68</v>
      </c>
      <c r="D85" s="223">
        <f>2*(1.6+1.6)*0.2*1.05</f>
        <v>1.3440000000000003</v>
      </c>
      <c r="E85" s="43"/>
      <c r="F85" s="220">
        <f t="shared" si="2"/>
        <v>0</v>
      </c>
    </row>
    <row r="86" spans="1:6" ht="25" x14ac:dyDescent="0.35">
      <c r="A86" s="92" t="s">
        <v>91</v>
      </c>
      <c r="B86" s="2" t="s">
        <v>73</v>
      </c>
      <c r="C86" s="75" t="s">
        <v>74</v>
      </c>
      <c r="D86" s="223">
        <v>1</v>
      </c>
      <c r="E86" s="43"/>
      <c r="F86" s="220">
        <f t="shared" si="2"/>
        <v>0</v>
      </c>
    </row>
    <row r="87" spans="1:6" ht="37.5" x14ac:dyDescent="0.35">
      <c r="A87" s="92" t="s">
        <v>92</v>
      </c>
      <c r="B87" s="2" t="s">
        <v>76</v>
      </c>
      <c r="C87" s="75" t="s">
        <v>26</v>
      </c>
      <c r="D87" s="223">
        <v>1.6</v>
      </c>
      <c r="E87" s="43"/>
      <c r="F87" s="220">
        <f t="shared" si="2"/>
        <v>0</v>
      </c>
    </row>
    <row r="88" spans="1:6" ht="25" x14ac:dyDescent="0.35">
      <c r="A88" s="92" t="s">
        <v>93</v>
      </c>
      <c r="B88" s="2" t="s">
        <v>94</v>
      </c>
      <c r="C88" s="75" t="s">
        <v>13</v>
      </c>
      <c r="D88" s="223">
        <v>1</v>
      </c>
      <c r="E88" s="43"/>
      <c r="F88" s="220">
        <f>E88*D88</f>
        <v>0</v>
      </c>
    </row>
    <row r="89" spans="1:6" x14ac:dyDescent="0.35">
      <c r="A89" s="92" t="s">
        <v>95</v>
      </c>
      <c r="B89" s="2" t="s">
        <v>96</v>
      </c>
      <c r="C89" s="95" t="s">
        <v>15</v>
      </c>
      <c r="D89" s="262">
        <v>1</v>
      </c>
      <c r="E89" s="96"/>
      <c r="F89" s="220">
        <f>E89*D89</f>
        <v>0</v>
      </c>
    </row>
    <row r="90" spans="1:6" ht="13" x14ac:dyDescent="0.35">
      <c r="A90" s="48"/>
      <c r="B90" s="49" t="s">
        <v>79</v>
      </c>
      <c r="C90" s="50"/>
      <c r="D90" s="251"/>
      <c r="E90" s="51"/>
      <c r="F90" s="218">
        <f>SUM(F77:F89)</f>
        <v>0</v>
      </c>
    </row>
    <row r="91" spans="1:6" ht="13" x14ac:dyDescent="0.35">
      <c r="A91" s="48"/>
      <c r="B91" s="94" t="s">
        <v>457</v>
      </c>
      <c r="C91" s="50"/>
      <c r="D91" s="261">
        <v>2</v>
      </c>
      <c r="E91" s="51"/>
      <c r="F91" s="218">
        <f>F90*D91</f>
        <v>0</v>
      </c>
    </row>
    <row r="92" spans="1:6" x14ac:dyDescent="0.35">
      <c r="A92" s="66"/>
      <c r="B92" s="67"/>
      <c r="C92" s="39"/>
      <c r="D92" s="232"/>
      <c r="E92" s="64"/>
      <c r="F92" s="73"/>
    </row>
    <row r="93" spans="1:6" ht="52" x14ac:dyDescent="0.35">
      <c r="A93" s="26" t="s">
        <v>97</v>
      </c>
      <c r="B93" s="63" t="s">
        <v>458</v>
      </c>
      <c r="C93" s="39"/>
      <c r="D93" s="232"/>
      <c r="E93" s="64"/>
      <c r="F93" s="65"/>
    </row>
    <row r="94" spans="1:6" x14ac:dyDescent="0.35">
      <c r="A94" s="66"/>
      <c r="B94" s="67"/>
      <c r="C94" s="39"/>
      <c r="D94" s="250"/>
      <c r="E94" s="41"/>
      <c r="F94" s="68"/>
    </row>
    <row r="95" spans="1:6" ht="25" x14ac:dyDescent="0.35">
      <c r="A95" s="92" t="s">
        <v>98</v>
      </c>
      <c r="B95" s="2" t="s">
        <v>99</v>
      </c>
      <c r="C95" s="75" t="s">
        <v>49</v>
      </c>
      <c r="D95" s="224">
        <f>(1.8+1)*(1.8+1)*1*1.05</f>
        <v>8.2319999999999993</v>
      </c>
      <c r="E95" s="43"/>
      <c r="F95" s="220">
        <f t="shared" ref="F95:F104" si="3">D95*E95</f>
        <v>0</v>
      </c>
    </row>
    <row r="96" spans="1:6" ht="25" x14ac:dyDescent="0.35">
      <c r="A96" s="92" t="s">
        <v>100</v>
      </c>
      <c r="B96" s="2" t="s">
        <v>101</v>
      </c>
      <c r="C96" s="75" t="s">
        <v>49</v>
      </c>
      <c r="D96" s="224">
        <f>(2*0.3*2.2)-(0.2*0.2*0.3)*1.05</f>
        <v>1.3074000000000001</v>
      </c>
      <c r="E96" s="43"/>
      <c r="F96" s="220">
        <f t="shared" si="3"/>
        <v>0</v>
      </c>
    </row>
    <row r="97" spans="1:8" ht="14.5" x14ac:dyDescent="0.35">
      <c r="A97" s="92" t="s">
        <v>102</v>
      </c>
      <c r="B97" s="2" t="s">
        <v>464</v>
      </c>
      <c r="C97" s="75" t="s">
        <v>49</v>
      </c>
      <c r="D97" s="224">
        <f>(1.8*0.05*2)-(0.2*0.2*0.05)*1.05</f>
        <v>0.17790000000000003</v>
      </c>
      <c r="E97" s="43"/>
      <c r="F97" s="220">
        <f t="shared" si="3"/>
        <v>0</v>
      </c>
    </row>
    <row r="98" spans="1:8" ht="25" x14ac:dyDescent="0.35">
      <c r="A98" s="92" t="s">
        <v>103</v>
      </c>
      <c r="B98" s="2" t="s">
        <v>470</v>
      </c>
      <c r="C98" s="75" t="s">
        <v>49</v>
      </c>
      <c r="D98" s="224">
        <f>(1.8*0.15*2)-(0.2*0.2*0.15)*1.05</f>
        <v>0.53370000000000006</v>
      </c>
      <c r="E98" s="43"/>
      <c r="F98" s="220">
        <f t="shared" si="3"/>
        <v>0</v>
      </c>
    </row>
    <row r="99" spans="1:8" ht="25" x14ac:dyDescent="0.35">
      <c r="A99" s="92" t="s">
        <v>104</v>
      </c>
      <c r="B99" s="2" t="s">
        <v>471</v>
      </c>
      <c r="C99" s="75" t="s">
        <v>49</v>
      </c>
      <c r="D99" s="224">
        <f>((1.6*1.2*0.2*2)+(1.2*1.2*0.2*2))*1.05</f>
        <v>1.4112</v>
      </c>
      <c r="E99" s="43"/>
      <c r="F99" s="220">
        <f t="shared" si="3"/>
        <v>0</v>
      </c>
    </row>
    <row r="100" spans="1:8" ht="27" x14ac:dyDescent="0.35">
      <c r="A100" s="92" t="s">
        <v>105</v>
      </c>
      <c r="B100" s="2" t="s">
        <v>106</v>
      </c>
      <c r="C100" s="75" t="s">
        <v>107</v>
      </c>
      <c r="D100" s="224">
        <f>(1.2*1.2*4)*1.05</f>
        <v>6.048</v>
      </c>
      <c r="E100" s="43"/>
      <c r="F100" s="220">
        <f t="shared" si="3"/>
        <v>0</v>
      </c>
    </row>
    <row r="101" spans="1:8" ht="25" x14ac:dyDescent="0.35">
      <c r="A101" s="92" t="s">
        <v>108</v>
      </c>
      <c r="B101" s="2" t="s">
        <v>472</v>
      </c>
      <c r="C101" s="75" t="s">
        <v>107</v>
      </c>
      <c r="D101" s="224">
        <f>((1.8*1.8)-(0.6*0.6))*1.05</f>
        <v>3.0240000000000005</v>
      </c>
      <c r="E101" s="43"/>
      <c r="F101" s="220">
        <f t="shared" si="3"/>
        <v>0</v>
      </c>
    </row>
    <row r="102" spans="1:8" ht="25" x14ac:dyDescent="0.35">
      <c r="A102" s="92" t="s">
        <v>109</v>
      </c>
      <c r="B102" s="2" t="s">
        <v>71</v>
      </c>
      <c r="C102" s="75" t="s">
        <v>107</v>
      </c>
      <c r="D102" s="224">
        <f>(1.6*2+1.2*2)*0.2*1.05</f>
        <v>1.1759999999999999</v>
      </c>
      <c r="E102" s="43"/>
      <c r="F102" s="220">
        <f t="shared" si="3"/>
        <v>0</v>
      </c>
    </row>
    <row r="103" spans="1:8" ht="25" x14ac:dyDescent="0.35">
      <c r="A103" s="92" t="s">
        <v>110</v>
      </c>
      <c r="B103" s="2" t="s">
        <v>111</v>
      </c>
      <c r="C103" s="75" t="s">
        <v>74</v>
      </c>
      <c r="D103" s="224">
        <v>1</v>
      </c>
      <c r="E103" s="43"/>
      <c r="F103" s="220">
        <f t="shared" si="3"/>
        <v>0</v>
      </c>
    </row>
    <row r="104" spans="1:8" ht="37.5" x14ac:dyDescent="0.35">
      <c r="A104" s="92" t="s">
        <v>112</v>
      </c>
      <c r="B104" s="97" t="s">
        <v>113</v>
      </c>
      <c r="C104" s="75" t="s">
        <v>26</v>
      </c>
      <c r="D104" s="223">
        <v>1</v>
      </c>
      <c r="E104" s="43"/>
      <c r="F104" s="220">
        <f t="shared" si="3"/>
        <v>0</v>
      </c>
    </row>
    <row r="105" spans="1:8" ht="25" x14ac:dyDescent="0.35">
      <c r="A105" s="92" t="s">
        <v>114</v>
      </c>
      <c r="B105" s="2" t="s">
        <v>115</v>
      </c>
      <c r="C105" s="75" t="s">
        <v>13</v>
      </c>
      <c r="D105" s="223">
        <v>1</v>
      </c>
      <c r="E105" s="43"/>
      <c r="F105" s="220">
        <f>E105*D105</f>
        <v>0</v>
      </c>
    </row>
    <row r="106" spans="1:8" ht="13" x14ac:dyDescent="0.35">
      <c r="A106" s="48"/>
      <c r="B106" s="49" t="s">
        <v>116</v>
      </c>
      <c r="C106" s="50"/>
      <c r="D106" s="253"/>
      <c r="E106" s="51"/>
      <c r="F106" s="218">
        <f>SUM(F95:F105)</f>
        <v>0</v>
      </c>
    </row>
    <row r="107" spans="1:8" ht="13" x14ac:dyDescent="0.35">
      <c r="A107" s="48"/>
      <c r="B107" s="94" t="s">
        <v>117</v>
      </c>
      <c r="C107" s="50"/>
      <c r="D107" s="261">
        <v>9</v>
      </c>
      <c r="E107" s="51"/>
      <c r="F107" s="218">
        <f>F106*D107</f>
        <v>0</v>
      </c>
    </row>
    <row r="108" spans="1:8" ht="15" x14ac:dyDescent="0.3">
      <c r="A108" s="50"/>
      <c r="B108" s="98"/>
      <c r="C108" s="88"/>
      <c r="D108" s="263"/>
      <c r="E108" s="89"/>
      <c r="F108" s="99"/>
      <c r="H108" s="100"/>
    </row>
    <row r="109" spans="1:8" s="104" customFormat="1" ht="26" x14ac:dyDescent="0.35">
      <c r="A109" s="102" t="s">
        <v>494</v>
      </c>
      <c r="B109" s="102" t="s">
        <v>133</v>
      </c>
      <c r="C109" s="2"/>
      <c r="D109" s="225"/>
      <c r="E109" s="2"/>
      <c r="F109" s="105"/>
    </row>
    <row r="110" spans="1:8" s="104" customFormat="1" ht="25" x14ac:dyDescent="0.35">
      <c r="A110" s="2" t="s">
        <v>118</v>
      </c>
      <c r="B110" s="2" t="s">
        <v>99</v>
      </c>
      <c r="C110" s="2" t="s">
        <v>135</v>
      </c>
      <c r="D110" s="225">
        <f xml:space="preserve"> (1+2.4)*(1+1.6)*0.7*1.05</f>
        <v>6.4973999999999998</v>
      </c>
      <c r="E110" s="2"/>
      <c r="F110" s="226">
        <f t="shared" ref="F110:F123" si="4">D110*E110</f>
        <v>0</v>
      </c>
    </row>
    <row r="111" spans="1:8" s="104" customFormat="1" ht="37.5" x14ac:dyDescent="0.35">
      <c r="A111" s="2" t="s">
        <v>120</v>
      </c>
      <c r="B111" s="2" t="s">
        <v>137</v>
      </c>
      <c r="C111" s="2" t="s">
        <v>135</v>
      </c>
      <c r="D111" s="225">
        <f xml:space="preserve"> ((2.8*2*0.3)-(0.3*0.2*0.2))*1.05</f>
        <v>1.7514000000000001</v>
      </c>
      <c r="E111" s="2"/>
      <c r="F111" s="226">
        <f t="shared" si="4"/>
        <v>0</v>
      </c>
    </row>
    <row r="112" spans="1:8" s="104" customFormat="1" ht="18" x14ac:dyDescent="0.35">
      <c r="A112" s="2" t="s">
        <v>121</v>
      </c>
      <c r="B112" s="2" t="s">
        <v>464</v>
      </c>
      <c r="C112" s="2" t="s">
        <v>135</v>
      </c>
      <c r="D112" s="225">
        <f xml:space="preserve"> ((2.8*2*0.05)-(0.05*0.2*0.2))*1.05</f>
        <v>0.29189999999999999</v>
      </c>
      <c r="E112" s="2"/>
      <c r="F112" s="226">
        <f t="shared" si="4"/>
        <v>0</v>
      </c>
    </row>
    <row r="113" spans="1:8" s="104" customFormat="1" ht="25" x14ac:dyDescent="0.35">
      <c r="A113" s="2" t="s">
        <v>122</v>
      </c>
      <c r="B113" s="2" t="s">
        <v>465</v>
      </c>
      <c r="C113" s="2" t="s">
        <v>135</v>
      </c>
      <c r="D113" s="225">
        <f xml:space="preserve"> ((2.6*1.8*0.15)-(0.15*0.2*0.2))*1.05</f>
        <v>0.73080000000000012</v>
      </c>
      <c r="E113" s="2"/>
      <c r="F113" s="226">
        <f t="shared" si="4"/>
        <v>0</v>
      </c>
    </row>
    <row r="114" spans="1:8" s="104" customFormat="1" ht="28.5" customHeight="1" x14ac:dyDescent="0.35">
      <c r="A114" s="2" t="s">
        <v>123</v>
      </c>
      <c r="B114" s="2" t="s">
        <v>466</v>
      </c>
      <c r="C114" s="2" t="s">
        <v>135</v>
      </c>
      <c r="D114" s="225">
        <f xml:space="preserve"> ((2.6*1.8*0.15)-(0.6*0.6*0.15))*1.05</f>
        <v>0.6804</v>
      </c>
      <c r="E114" s="2"/>
      <c r="F114" s="226">
        <f t="shared" si="4"/>
        <v>0</v>
      </c>
    </row>
    <row r="115" spans="1:8" s="104" customFormat="1" ht="18" x14ac:dyDescent="0.35">
      <c r="A115" s="2" t="s">
        <v>124</v>
      </c>
      <c r="B115" s="2" t="s">
        <v>143</v>
      </c>
      <c r="C115" s="2" t="s">
        <v>135</v>
      </c>
      <c r="D115" s="225">
        <f>((2.4*1.2*0.3*2)+(1*1.2*0.3)+(1*0.8*0.2))*1.05</f>
        <v>2.3604000000000003</v>
      </c>
      <c r="E115" s="2"/>
      <c r="F115" s="226">
        <f t="shared" si="4"/>
        <v>0</v>
      </c>
    </row>
    <row r="116" spans="1:8" s="104" customFormat="1" ht="25" x14ac:dyDescent="0.35">
      <c r="A116" s="2" t="s">
        <v>127</v>
      </c>
      <c r="B116" s="2" t="s">
        <v>145</v>
      </c>
      <c r="C116" s="2" t="s">
        <v>146</v>
      </c>
      <c r="D116" s="225">
        <f>((1*1.2*1)+(1*0.8*1)+(0.8*1.2*2))*1.05</f>
        <v>4.1159999999999997</v>
      </c>
      <c r="E116" s="2"/>
      <c r="F116" s="226">
        <f t="shared" si="4"/>
        <v>0</v>
      </c>
    </row>
    <row r="117" spans="1:8" s="104" customFormat="1" ht="30.5" x14ac:dyDescent="0.35">
      <c r="A117" s="2" t="s">
        <v>128</v>
      </c>
      <c r="B117" s="2" t="s">
        <v>148</v>
      </c>
      <c r="C117" s="2" t="s">
        <v>146</v>
      </c>
      <c r="D117" s="225">
        <f>(2*(1+0.8)*1.2  -   (1*0.4))*1.05</f>
        <v>4.1160000000000005</v>
      </c>
      <c r="E117" s="2"/>
      <c r="F117" s="226">
        <f t="shared" si="4"/>
        <v>0</v>
      </c>
    </row>
    <row r="118" spans="1:8" s="104" customFormat="1" ht="25" x14ac:dyDescent="0.35">
      <c r="A118" s="2" t="s">
        <v>129</v>
      </c>
      <c r="B118" s="2" t="s">
        <v>150</v>
      </c>
      <c r="C118" s="2" t="s">
        <v>146</v>
      </c>
      <c r="D118" s="225">
        <f>D116</f>
        <v>4.1159999999999997</v>
      </c>
      <c r="E118" s="2"/>
      <c r="F118" s="226">
        <f t="shared" si="4"/>
        <v>0</v>
      </c>
    </row>
    <row r="119" spans="1:8" s="104" customFormat="1" ht="25" x14ac:dyDescent="0.35">
      <c r="A119" s="2" t="s">
        <v>130</v>
      </c>
      <c r="B119" s="2" t="s">
        <v>476</v>
      </c>
      <c r="C119" s="2" t="s">
        <v>146</v>
      </c>
      <c r="D119" s="225">
        <f xml:space="preserve"> ((2.6*1.8)-(0.6*0.6))*1.05</f>
        <v>4.5360000000000005</v>
      </c>
      <c r="E119" s="2"/>
      <c r="F119" s="226">
        <f t="shared" si="4"/>
        <v>0</v>
      </c>
    </row>
    <row r="120" spans="1:8" s="104" customFormat="1" ht="25" x14ac:dyDescent="0.35">
      <c r="A120" s="2" t="s">
        <v>131</v>
      </c>
      <c r="B120" s="2" t="s">
        <v>153</v>
      </c>
      <c r="C120" s="2" t="s">
        <v>146</v>
      </c>
      <c r="D120" s="225">
        <f>((2.4*0.3*2)+(1*0.3*2))*1.05</f>
        <v>2.1420000000000003</v>
      </c>
      <c r="E120" s="2"/>
      <c r="F120" s="226">
        <f t="shared" si="4"/>
        <v>0</v>
      </c>
    </row>
    <row r="121" spans="1:8" s="104" customFormat="1" ht="25" x14ac:dyDescent="0.35">
      <c r="A121" s="2" t="s">
        <v>495</v>
      </c>
      <c r="B121" s="2" t="s">
        <v>155</v>
      </c>
      <c r="C121" s="2" t="s">
        <v>74</v>
      </c>
      <c r="D121" s="225">
        <v>1</v>
      </c>
      <c r="E121" s="2"/>
      <c r="F121" s="226">
        <f t="shared" si="4"/>
        <v>0</v>
      </c>
    </row>
    <row r="122" spans="1:8" s="104" customFormat="1" ht="25" x14ac:dyDescent="0.35">
      <c r="A122" s="2" t="s">
        <v>496</v>
      </c>
      <c r="B122" s="2" t="s">
        <v>157</v>
      </c>
      <c r="C122" s="2" t="s">
        <v>13</v>
      </c>
      <c r="D122" s="225">
        <v>1</v>
      </c>
      <c r="E122" s="2"/>
      <c r="F122" s="226">
        <f t="shared" si="4"/>
        <v>0</v>
      </c>
    </row>
    <row r="123" spans="1:8" s="104" customFormat="1" ht="31.5" customHeight="1" x14ac:dyDescent="0.35">
      <c r="A123" s="2" t="s">
        <v>497</v>
      </c>
      <c r="B123" s="2" t="s">
        <v>159</v>
      </c>
      <c r="C123" s="2" t="s">
        <v>13</v>
      </c>
      <c r="D123" s="225">
        <v>1</v>
      </c>
      <c r="E123" s="2"/>
      <c r="F123" s="226">
        <f t="shared" si="4"/>
        <v>0</v>
      </c>
    </row>
    <row r="124" spans="1:8" s="104" customFormat="1" ht="15.5" x14ac:dyDescent="0.35">
      <c r="A124" s="2"/>
      <c r="B124" s="102" t="s">
        <v>498</v>
      </c>
      <c r="C124" s="2"/>
      <c r="D124" s="264"/>
      <c r="E124" s="102"/>
      <c r="F124" s="227">
        <f>SUM(F110:F123)</f>
        <v>0</v>
      </c>
    </row>
    <row r="125" spans="1:8" s="104" customFormat="1" ht="15.5" x14ac:dyDescent="0.35">
      <c r="A125" s="2"/>
      <c r="B125" s="107" t="s">
        <v>499</v>
      </c>
      <c r="C125" s="2"/>
      <c r="D125" s="265">
        <v>2</v>
      </c>
      <c r="E125" s="102"/>
      <c r="F125" s="227">
        <f>F124*D125</f>
        <v>0</v>
      </c>
    </row>
    <row r="126" spans="1:8" s="104" customFormat="1" ht="15.5" x14ac:dyDescent="0.35">
      <c r="A126" s="108"/>
      <c r="B126" s="109"/>
      <c r="C126" s="108"/>
      <c r="D126" s="266"/>
      <c r="E126" s="108"/>
      <c r="F126" s="110"/>
      <c r="H126" s="9"/>
    </row>
    <row r="127" spans="1:8" ht="26" x14ac:dyDescent="0.35">
      <c r="A127" s="26" t="s">
        <v>132</v>
      </c>
      <c r="B127" s="63" t="s">
        <v>394</v>
      </c>
      <c r="C127" s="39"/>
      <c r="D127" s="232"/>
      <c r="E127" s="64"/>
      <c r="F127" s="65"/>
    </row>
    <row r="128" spans="1:8" ht="37.5" x14ac:dyDescent="0.35">
      <c r="A128" s="111" t="s">
        <v>134</v>
      </c>
      <c r="B128" s="2" t="s">
        <v>395</v>
      </c>
      <c r="C128" s="39" t="s">
        <v>49</v>
      </c>
      <c r="D128" s="267">
        <v>10.446153846153848</v>
      </c>
      <c r="E128" s="105"/>
      <c r="F128" s="228">
        <f>E128*D128</f>
        <v>0</v>
      </c>
    </row>
    <row r="129" spans="1:6" ht="25" x14ac:dyDescent="0.35">
      <c r="A129" s="111" t="s">
        <v>136</v>
      </c>
      <c r="B129" s="2" t="s">
        <v>396</v>
      </c>
      <c r="C129" s="39" t="s">
        <v>49</v>
      </c>
      <c r="D129" s="267">
        <v>2.0075692307692301</v>
      </c>
      <c r="E129" s="105"/>
      <c r="F129" s="228">
        <f t="shared" ref="F129:F143" si="5">E129*D129</f>
        <v>0</v>
      </c>
    </row>
    <row r="130" spans="1:6" ht="14.5" x14ac:dyDescent="0.35">
      <c r="A130" s="111" t="s">
        <v>138</v>
      </c>
      <c r="B130" s="2" t="s">
        <v>464</v>
      </c>
      <c r="C130" s="39" t="s">
        <v>49</v>
      </c>
      <c r="D130" s="267">
        <v>0.50189230769230764</v>
      </c>
      <c r="E130" s="105"/>
      <c r="F130" s="228">
        <f t="shared" si="5"/>
        <v>0</v>
      </c>
    </row>
    <row r="131" spans="1:6" ht="25" x14ac:dyDescent="0.35">
      <c r="A131" s="111" t="s">
        <v>139</v>
      </c>
      <c r="B131" s="2" t="s">
        <v>470</v>
      </c>
      <c r="C131" s="39" t="s">
        <v>49</v>
      </c>
      <c r="D131" s="267">
        <v>3.0113538461538454</v>
      </c>
      <c r="E131" s="105"/>
      <c r="F131" s="228">
        <f t="shared" si="5"/>
        <v>0</v>
      </c>
    </row>
    <row r="132" spans="1:6" ht="25" x14ac:dyDescent="0.35">
      <c r="A132" s="111" t="s">
        <v>141</v>
      </c>
      <c r="B132" s="2" t="s">
        <v>471</v>
      </c>
      <c r="C132" s="39" t="s">
        <v>49</v>
      </c>
      <c r="D132" s="267">
        <v>3.5538461538461537</v>
      </c>
      <c r="E132" s="105"/>
      <c r="F132" s="228">
        <f t="shared" si="5"/>
        <v>0</v>
      </c>
    </row>
    <row r="133" spans="1:6" ht="25" x14ac:dyDescent="0.35">
      <c r="A133" s="111" t="s">
        <v>142</v>
      </c>
      <c r="B133" s="2" t="s">
        <v>473</v>
      </c>
      <c r="C133" s="39" t="s">
        <v>49</v>
      </c>
      <c r="D133" s="267">
        <v>1.3520000000000003</v>
      </c>
      <c r="E133" s="105"/>
      <c r="F133" s="228">
        <f t="shared" si="5"/>
        <v>0</v>
      </c>
    </row>
    <row r="134" spans="1:6" ht="25" x14ac:dyDescent="0.35">
      <c r="A134" s="111" t="s">
        <v>144</v>
      </c>
      <c r="B134" s="2" t="s">
        <v>397</v>
      </c>
      <c r="C134" s="75" t="s">
        <v>68</v>
      </c>
      <c r="D134" s="267">
        <v>13.6</v>
      </c>
      <c r="E134" s="105"/>
      <c r="F134" s="228">
        <f t="shared" si="5"/>
        <v>0</v>
      </c>
    </row>
    <row r="135" spans="1:6" ht="25" x14ac:dyDescent="0.35">
      <c r="A135" s="111" t="s">
        <v>147</v>
      </c>
      <c r="B135" s="2" t="s">
        <v>474</v>
      </c>
      <c r="C135" s="75" t="s">
        <v>68</v>
      </c>
      <c r="D135" s="267">
        <v>4.68</v>
      </c>
      <c r="E135" s="105"/>
      <c r="F135" s="228">
        <f t="shared" si="5"/>
        <v>0</v>
      </c>
    </row>
    <row r="136" spans="1:6" ht="25" x14ac:dyDescent="0.35">
      <c r="A136" s="111" t="s">
        <v>149</v>
      </c>
      <c r="B136" s="2" t="s">
        <v>399</v>
      </c>
      <c r="C136" s="75" t="s">
        <v>68</v>
      </c>
      <c r="D136" s="267">
        <v>1.2</v>
      </c>
      <c r="E136" s="105"/>
      <c r="F136" s="228">
        <f t="shared" si="5"/>
        <v>0</v>
      </c>
    </row>
    <row r="137" spans="1:6" ht="25" x14ac:dyDescent="0.35">
      <c r="A137" s="111" t="s">
        <v>151</v>
      </c>
      <c r="B137" s="2" t="s">
        <v>400</v>
      </c>
      <c r="C137" s="95" t="s">
        <v>13</v>
      </c>
      <c r="D137" s="267">
        <v>3</v>
      </c>
      <c r="E137" s="105"/>
      <c r="F137" s="228">
        <f t="shared" si="5"/>
        <v>0</v>
      </c>
    </row>
    <row r="138" spans="1:6" ht="37.5" x14ac:dyDescent="0.35">
      <c r="A138" s="111" t="s">
        <v>152</v>
      </c>
      <c r="B138" s="2" t="s">
        <v>401</v>
      </c>
      <c r="C138" s="95" t="s">
        <v>13</v>
      </c>
      <c r="D138" s="267">
        <v>2</v>
      </c>
      <c r="E138" s="105"/>
      <c r="F138" s="228">
        <f t="shared" si="5"/>
        <v>0</v>
      </c>
    </row>
    <row r="139" spans="1:6" x14ac:dyDescent="0.35">
      <c r="A139" s="111" t="s">
        <v>154</v>
      </c>
      <c r="B139" s="2" t="s">
        <v>402</v>
      </c>
      <c r="C139" s="95" t="s">
        <v>13</v>
      </c>
      <c r="D139" s="267">
        <v>1</v>
      </c>
      <c r="E139" s="105"/>
      <c r="F139" s="228">
        <f t="shared" si="5"/>
        <v>0</v>
      </c>
    </row>
    <row r="140" spans="1:6" ht="25" x14ac:dyDescent="0.35">
      <c r="A140" s="111" t="s">
        <v>156</v>
      </c>
      <c r="B140" s="2" t="s">
        <v>403</v>
      </c>
      <c r="C140" s="95" t="s">
        <v>13</v>
      </c>
      <c r="D140" s="267">
        <v>1</v>
      </c>
      <c r="E140" s="105"/>
      <c r="F140" s="228">
        <f t="shared" si="5"/>
        <v>0</v>
      </c>
    </row>
    <row r="141" spans="1:6" x14ac:dyDescent="0.35">
      <c r="A141" s="111" t="s">
        <v>158</v>
      </c>
      <c r="B141" s="2" t="s">
        <v>404</v>
      </c>
      <c r="C141" s="95" t="s">
        <v>13</v>
      </c>
      <c r="D141" s="267">
        <v>1</v>
      </c>
      <c r="E141" s="105"/>
      <c r="F141" s="228">
        <f t="shared" si="5"/>
        <v>0</v>
      </c>
    </row>
    <row r="142" spans="1:6" x14ac:dyDescent="0.35">
      <c r="A142" s="111" t="s">
        <v>500</v>
      </c>
      <c r="B142" s="2" t="s">
        <v>405</v>
      </c>
      <c r="C142" s="95" t="s">
        <v>13</v>
      </c>
      <c r="D142" s="267">
        <v>1</v>
      </c>
      <c r="E142" s="105"/>
      <c r="F142" s="228">
        <f t="shared" si="5"/>
        <v>0</v>
      </c>
    </row>
    <row r="143" spans="1:6" ht="25" x14ac:dyDescent="0.35">
      <c r="A143" s="111" t="s">
        <v>501</v>
      </c>
      <c r="B143" s="2" t="s">
        <v>406</v>
      </c>
      <c r="C143" s="95" t="s">
        <v>13</v>
      </c>
      <c r="D143" s="267">
        <v>1</v>
      </c>
      <c r="E143" s="105"/>
      <c r="F143" s="228">
        <f t="shared" si="5"/>
        <v>0</v>
      </c>
    </row>
    <row r="144" spans="1:6" ht="13" x14ac:dyDescent="0.35">
      <c r="A144" s="48"/>
      <c r="B144" s="49" t="s">
        <v>502</v>
      </c>
      <c r="C144" s="50"/>
      <c r="D144" s="253"/>
      <c r="E144" s="51"/>
      <c r="F144" s="218">
        <f>SUM(F128:F143)</f>
        <v>0</v>
      </c>
    </row>
    <row r="145" spans="1:6" ht="13" x14ac:dyDescent="0.35">
      <c r="A145" s="48"/>
      <c r="B145" s="49" t="s">
        <v>407</v>
      </c>
      <c r="C145" s="50"/>
      <c r="D145" s="253">
        <v>1</v>
      </c>
      <c r="E145" s="51"/>
      <c r="F145" s="218">
        <f>F144*D145</f>
        <v>0</v>
      </c>
    </row>
    <row r="146" spans="1:6" ht="13" x14ac:dyDescent="0.35">
      <c r="A146" s="48"/>
      <c r="B146" s="94" t="s">
        <v>503</v>
      </c>
      <c r="C146" s="50"/>
      <c r="D146" s="261">
        <v>2</v>
      </c>
      <c r="E146" s="51"/>
      <c r="F146" s="218">
        <f>F145*D146</f>
        <v>0</v>
      </c>
    </row>
    <row r="147" spans="1:6" x14ac:dyDescent="0.35">
      <c r="A147" s="66"/>
      <c r="B147" s="39"/>
      <c r="C147" s="39"/>
      <c r="D147" s="268"/>
      <c r="E147" s="64"/>
      <c r="F147" s="73"/>
    </row>
    <row r="148" spans="1:6" ht="13" x14ac:dyDescent="0.35">
      <c r="A148" s="113"/>
      <c r="B148" s="63"/>
      <c r="C148" s="32"/>
      <c r="D148" s="269"/>
      <c r="E148" s="114"/>
      <c r="F148" s="115"/>
    </row>
    <row r="149" spans="1:6" ht="13" x14ac:dyDescent="0.35">
      <c r="A149" s="26" t="s">
        <v>160</v>
      </c>
      <c r="B149" s="63" t="s">
        <v>165</v>
      </c>
      <c r="C149" s="39"/>
      <c r="D149" s="232"/>
      <c r="E149" s="64"/>
      <c r="F149" s="65"/>
    </row>
    <row r="150" spans="1:6" ht="50" x14ac:dyDescent="0.35">
      <c r="A150" s="111" t="s">
        <v>161</v>
      </c>
      <c r="B150" s="2" t="s">
        <v>166</v>
      </c>
      <c r="C150" s="293" t="s">
        <v>13</v>
      </c>
      <c r="D150" s="294">
        <v>1</v>
      </c>
      <c r="E150" s="295"/>
      <c r="F150" s="296">
        <f>E150*D150</f>
        <v>0</v>
      </c>
    </row>
    <row r="151" spans="1:6" ht="63" x14ac:dyDescent="0.35">
      <c r="A151" s="111" t="s">
        <v>162</v>
      </c>
      <c r="B151" s="2" t="s">
        <v>167</v>
      </c>
      <c r="C151" s="293"/>
      <c r="D151" s="294"/>
      <c r="E151" s="295"/>
      <c r="F151" s="296"/>
    </row>
    <row r="152" spans="1:6" ht="38" x14ac:dyDescent="0.35">
      <c r="A152" s="111" t="s">
        <v>163</v>
      </c>
      <c r="B152" s="2" t="s">
        <v>492</v>
      </c>
      <c r="C152" s="293"/>
      <c r="D152" s="294"/>
      <c r="E152" s="295"/>
      <c r="F152" s="296"/>
    </row>
    <row r="153" spans="1:6" ht="25.5" x14ac:dyDescent="0.35">
      <c r="A153" s="111" t="s">
        <v>164</v>
      </c>
      <c r="B153" s="2" t="s">
        <v>168</v>
      </c>
      <c r="C153" s="95"/>
      <c r="D153" s="267"/>
      <c r="E153" s="105"/>
      <c r="F153" s="112"/>
    </row>
    <row r="154" spans="1:6" ht="13" x14ac:dyDescent="0.35">
      <c r="A154" s="48"/>
      <c r="B154" s="49" t="s">
        <v>169</v>
      </c>
      <c r="C154" s="50"/>
      <c r="D154" s="253"/>
      <c r="E154" s="51"/>
      <c r="F154" s="218">
        <f>F150</f>
        <v>0</v>
      </c>
    </row>
    <row r="155" spans="1:6" ht="13" x14ac:dyDescent="0.35">
      <c r="A155" s="92"/>
      <c r="B155" s="102"/>
      <c r="C155" s="75"/>
      <c r="D155" s="223"/>
      <c r="E155" s="43"/>
      <c r="F155" s="103"/>
    </row>
    <row r="156" spans="1:6" ht="13" x14ac:dyDescent="0.35">
      <c r="A156" s="48"/>
      <c r="B156" s="49" t="s">
        <v>170</v>
      </c>
      <c r="C156" s="50"/>
      <c r="D156" s="253"/>
      <c r="E156" s="51"/>
      <c r="F156" s="218">
        <f>SUM(F154,F146,F125,F107,F91,F74)</f>
        <v>0</v>
      </c>
    </row>
    <row r="157" spans="1:6" ht="13" x14ac:dyDescent="0.35">
      <c r="A157" s="26"/>
      <c r="B157" s="27"/>
      <c r="C157" s="28"/>
      <c r="D157" s="270"/>
      <c r="E157" s="116"/>
      <c r="F157" s="65"/>
    </row>
    <row r="158" spans="1:6" s="122" customFormat="1" ht="13" x14ac:dyDescent="0.35">
      <c r="A158" s="117">
        <v>3.2</v>
      </c>
      <c r="B158" s="118" t="s">
        <v>171</v>
      </c>
      <c r="C158" s="119"/>
      <c r="D158" s="271"/>
      <c r="E158" s="120"/>
      <c r="F158" s="121"/>
    </row>
    <row r="159" spans="1:6" ht="15" x14ac:dyDescent="0.35">
      <c r="A159" s="26" t="s">
        <v>172</v>
      </c>
      <c r="B159" s="123" t="s">
        <v>173</v>
      </c>
      <c r="C159" s="39"/>
      <c r="D159" s="232"/>
      <c r="E159" s="64"/>
      <c r="F159" s="65"/>
    </row>
    <row r="160" spans="1:6" ht="25" x14ac:dyDescent="0.35">
      <c r="A160" s="124" t="s">
        <v>174</v>
      </c>
      <c r="B160" s="125" t="s">
        <v>99</v>
      </c>
      <c r="C160" s="126" t="s">
        <v>175</v>
      </c>
      <c r="D160" s="229">
        <f>6.5*6.5*1*1.05</f>
        <v>44.362500000000004</v>
      </c>
      <c r="E160" s="64"/>
      <c r="F160" s="230">
        <f>E160*D160</f>
        <v>0</v>
      </c>
    </row>
    <row r="161" spans="1:6" ht="37.5" x14ac:dyDescent="0.35">
      <c r="A161" s="124" t="s">
        <v>176</v>
      </c>
      <c r="B161" s="125" t="s">
        <v>137</v>
      </c>
      <c r="C161" s="126" t="s">
        <v>175</v>
      </c>
      <c r="D161" s="229">
        <f>(2.85^2*PI()*0.3)*1.05</f>
        <v>8.0380396935666756</v>
      </c>
      <c r="E161" s="64"/>
      <c r="F161" s="230">
        <f t="shared" ref="F161:F171" si="6">E161*D161</f>
        <v>0</v>
      </c>
    </row>
    <row r="162" spans="1:6" ht="14.5" x14ac:dyDescent="0.35">
      <c r="A162" s="124" t="s">
        <v>177</v>
      </c>
      <c r="B162" s="2" t="s">
        <v>464</v>
      </c>
      <c r="C162" s="126" t="s">
        <v>175</v>
      </c>
      <c r="D162" s="229">
        <f>(2.85^2*PI()*0.05)*1.05</f>
        <v>1.3396732822611126</v>
      </c>
      <c r="E162" s="64"/>
      <c r="F162" s="230">
        <f t="shared" si="6"/>
        <v>0</v>
      </c>
    </row>
    <row r="163" spans="1:6" ht="14.5" x14ac:dyDescent="0.35">
      <c r="A163" s="124" t="s">
        <v>178</v>
      </c>
      <c r="B163" s="125" t="s">
        <v>140</v>
      </c>
      <c r="C163" s="126" t="s">
        <v>175</v>
      </c>
      <c r="D163" s="229">
        <f>(2.6^2*PI()*0.2)+(5.2*PI()*0.15*0.3)*1.05</f>
        <v>5.0193225826404131</v>
      </c>
      <c r="E163" s="128"/>
      <c r="F163" s="230">
        <f t="shared" si="6"/>
        <v>0</v>
      </c>
    </row>
    <row r="164" spans="1:6" ht="25" x14ac:dyDescent="0.35">
      <c r="A164" s="124" t="s">
        <v>179</v>
      </c>
      <c r="B164" s="125" t="s">
        <v>475</v>
      </c>
      <c r="C164" s="126" t="s">
        <v>175</v>
      </c>
      <c r="D164" s="229">
        <f>((2.6^2*PI()*0.15)-(0.8*0.8*0.15*2))*1.05</f>
        <v>3.1432536982770527</v>
      </c>
      <c r="E164" s="128"/>
      <c r="F164" s="230">
        <f t="shared" si="6"/>
        <v>0</v>
      </c>
    </row>
    <row r="165" spans="1:6" ht="14.5" x14ac:dyDescent="0.35">
      <c r="A165" s="124" t="s">
        <v>180</v>
      </c>
      <c r="B165" s="125" t="s">
        <v>181</v>
      </c>
      <c r="C165" s="126" t="s">
        <v>175</v>
      </c>
      <c r="D165" s="229">
        <f>(4.9*PI()*0.4*2.55)*1.05</f>
        <v>16.486764086773878</v>
      </c>
      <c r="E165" s="128"/>
      <c r="F165" s="230">
        <f t="shared" si="6"/>
        <v>0</v>
      </c>
    </row>
    <row r="166" spans="1:6" ht="25" x14ac:dyDescent="0.35">
      <c r="A166" s="124" t="s">
        <v>182</v>
      </c>
      <c r="B166" s="125" t="s">
        <v>145</v>
      </c>
      <c r="C166" s="126" t="s">
        <v>183</v>
      </c>
      <c r="D166" s="229">
        <f>3.9*PI()*2.55*1.05</f>
        <v>32.805295886948016</v>
      </c>
      <c r="E166" s="128"/>
      <c r="F166" s="230">
        <f t="shared" si="6"/>
        <v>0</v>
      </c>
    </row>
    <row r="167" spans="1:6" ht="25" x14ac:dyDescent="0.35">
      <c r="A167" s="124" t="s">
        <v>184</v>
      </c>
      <c r="B167" s="125" t="s">
        <v>185</v>
      </c>
      <c r="C167" s="126" t="s">
        <v>183</v>
      </c>
      <c r="D167" s="229">
        <f>D166</f>
        <v>32.805295886948016</v>
      </c>
      <c r="E167" s="128"/>
      <c r="F167" s="230">
        <f t="shared" si="6"/>
        <v>0</v>
      </c>
    </row>
    <row r="168" spans="1:6" ht="25" x14ac:dyDescent="0.35">
      <c r="A168" s="124" t="s">
        <v>186</v>
      </c>
      <c r="B168" s="125" t="s">
        <v>476</v>
      </c>
      <c r="C168" s="126" t="s">
        <v>183</v>
      </c>
      <c r="D168" s="229">
        <f>((2.6^2*PI())-(0.8*0.8*2))*1.05</f>
        <v>20.955024655180353</v>
      </c>
      <c r="E168" s="128"/>
      <c r="F168" s="230">
        <f t="shared" si="6"/>
        <v>0</v>
      </c>
    </row>
    <row r="169" spans="1:6" ht="25" x14ac:dyDescent="0.35">
      <c r="A169" s="124" t="s">
        <v>187</v>
      </c>
      <c r="B169" s="125" t="s">
        <v>153</v>
      </c>
      <c r="C169" s="126" t="s">
        <v>183</v>
      </c>
      <c r="D169" s="229">
        <f>PI()*4.9*0.5*1.05</f>
        <v>8.0817471013597437</v>
      </c>
      <c r="E169" s="128"/>
      <c r="F169" s="230">
        <f t="shared" si="6"/>
        <v>0</v>
      </c>
    </row>
    <row r="170" spans="1:6" ht="25" x14ac:dyDescent="0.35">
      <c r="A170" s="124" t="s">
        <v>188</v>
      </c>
      <c r="B170" s="125" t="s">
        <v>189</v>
      </c>
      <c r="C170" s="126" t="s">
        <v>29</v>
      </c>
      <c r="D170" s="229">
        <v>2</v>
      </c>
      <c r="E170" s="128"/>
      <c r="F170" s="230">
        <f t="shared" si="6"/>
        <v>0</v>
      </c>
    </row>
    <row r="171" spans="1:6" ht="25" x14ac:dyDescent="0.35">
      <c r="A171" s="124" t="s">
        <v>190</v>
      </c>
      <c r="B171" s="125" t="s">
        <v>157</v>
      </c>
      <c r="C171" s="126" t="s">
        <v>13</v>
      </c>
      <c r="D171" s="229">
        <v>2</v>
      </c>
      <c r="E171" s="128"/>
      <c r="F171" s="230">
        <f t="shared" si="6"/>
        <v>0</v>
      </c>
    </row>
    <row r="172" spans="1:6" ht="13" x14ac:dyDescent="0.35">
      <c r="A172" s="9"/>
      <c r="B172" s="129" t="s">
        <v>191</v>
      </c>
      <c r="C172" s="39"/>
      <c r="D172" s="232"/>
      <c r="E172" s="64"/>
      <c r="F172" s="65"/>
    </row>
    <row r="173" spans="1:6" ht="25" x14ac:dyDescent="0.35">
      <c r="A173" s="124" t="s">
        <v>192</v>
      </c>
      <c r="B173" s="125" t="s">
        <v>99</v>
      </c>
      <c r="C173" s="126" t="s">
        <v>175</v>
      </c>
      <c r="D173" s="229">
        <f>2.5*3.5*1*1.05</f>
        <v>9.1875</v>
      </c>
      <c r="E173" s="64"/>
      <c r="F173" s="230">
        <f t="shared" ref="F173:F182" si="7">E173*D173</f>
        <v>0</v>
      </c>
    </row>
    <row r="174" spans="1:6" ht="25" x14ac:dyDescent="0.35">
      <c r="A174" s="124" t="s">
        <v>193</v>
      </c>
      <c r="B174" s="125" t="s">
        <v>101</v>
      </c>
      <c r="C174" s="126" t="s">
        <v>175</v>
      </c>
      <c r="D174" s="229">
        <f>2.35*1.95*0.05*1.05</f>
        <v>0.24058125000000002</v>
      </c>
      <c r="E174" s="64"/>
      <c r="F174" s="230">
        <f t="shared" si="7"/>
        <v>0</v>
      </c>
    </row>
    <row r="175" spans="1:6" ht="14.5" x14ac:dyDescent="0.35">
      <c r="A175" s="124" t="s">
        <v>194</v>
      </c>
      <c r="B175" s="2" t="s">
        <v>464</v>
      </c>
      <c r="C175" s="126" t="s">
        <v>175</v>
      </c>
      <c r="D175" s="229">
        <f>1.4*2.7*0.05*1.05</f>
        <v>0.19845000000000002</v>
      </c>
      <c r="E175" s="64"/>
      <c r="F175" s="230">
        <f t="shared" si="7"/>
        <v>0</v>
      </c>
    </row>
    <row r="176" spans="1:6" ht="25" x14ac:dyDescent="0.35">
      <c r="A176" s="124" t="s">
        <v>195</v>
      </c>
      <c r="B176" s="125" t="s">
        <v>470</v>
      </c>
      <c r="C176" s="126" t="s">
        <v>175</v>
      </c>
      <c r="D176" s="229">
        <f>1.4*2.7*0.1*1.05</f>
        <v>0.39690000000000003</v>
      </c>
      <c r="E176" s="128"/>
      <c r="F176" s="230">
        <f t="shared" si="7"/>
        <v>0</v>
      </c>
    </row>
    <row r="177" spans="1:6" ht="25" x14ac:dyDescent="0.35">
      <c r="A177" s="124" t="s">
        <v>196</v>
      </c>
      <c r="B177" s="125" t="s">
        <v>477</v>
      </c>
      <c r="C177" s="126" t="s">
        <v>175</v>
      </c>
      <c r="D177" s="229">
        <f>((2.7*0.2*1)+(1.7*0.2*1*2))*1.05</f>
        <v>1.2810000000000004</v>
      </c>
      <c r="E177" s="128"/>
      <c r="F177" s="230">
        <f t="shared" si="7"/>
        <v>0</v>
      </c>
    </row>
    <row r="178" spans="1:6" ht="25" x14ac:dyDescent="0.35">
      <c r="A178" s="124" t="s">
        <v>197</v>
      </c>
      <c r="B178" s="125" t="s">
        <v>125</v>
      </c>
      <c r="C178" s="126" t="s">
        <v>183</v>
      </c>
      <c r="D178" s="229">
        <f>((2.3*1)+(1.7*1*2)+(2.2*1.7))*1.05</f>
        <v>9.911999999999999</v>
      </c>
      <c r="E178" s="128"/>
      <c r="F178" s="230">
        <f t="shared" si="7"/>
        <v>0</v>
      </c>
    </row>
    <row r="179" spans="1:6" ht="25" x14ac:dyDescent="0.35">
      <c r="A179" s="124" t="s">
        <v>198</v>
      </c>
      <c r="B179" s="125" t="s">
        <v>478</v>
      </c>
      <c r="C179" s="126" t="s">
        <v>183</v>
      </c>
      <c r="D179" s="229">
        <f>((2.2*1.7)-(0.6*0.6))*1.05</f>
        <v>3.5490000000000004</v>
      </c>
      <c r="E179" s="128"/>
      <c r="F179" s="230">
        <f t="shared" si="7"/>
        <v>0</v>
      </c>
    </row>
    <row r="180" spans="1:6" ht="25" x14ac:dyDescent="0.35">
      <c r="A180" s="124" t="s">
        <v>199</v>
      </c>
      <c r="B180" s="125" t="s">
        <v>153</v>
      </c>
      <c r="C180" s="126" t="s">
        <v>183</v>
      </c>
      <c r="D180" s="229">
        <f>(2.7*0.2+(1.8*0.2*2))*1.05</f>
        <v>1.3230000000000004</v>
      </c>
      <c r="E180" s="128"/>
      <c r="F180" s="230">
        <f t="shared" si="7"/>
        <v>0</v>
      </c>
    </row>
    <row r="181" spans="1:6" ht="25" x14ac:dyDescent="0.35">
      <c r="A181" s="124" t="s">
        <v>200</v>
      </c>
      <c r="B181" s="125" t="s">
        <v>111</v>
      </c>
      <c r="C181" s="126" t="s">
        <v>29</v>
      </c>
      <c r="D181" s="229">
        <v>1</v>
      </c>
      <c r="E181" s="128"/>
      <c r="F181" s="230">
        <f t="shared" si="7"/>
        <v>0</v>
      </c>
    </row>
    <row r="182" spans="1:6" ht="37.5" x14ac:dyDescent="0.35">
      <c r="A182" s="124" t="s">
        <v>201</v>
      </c>
      <c r="B182" s="2" t="s">
        <v>76</v>
      </c>
      <c r="C182" s="126" t="s">
        <v>26</v>
      </c>
      <c r="D182" s="229">
        <v>1</v>
      </c>
      <c r="E182" s="128"/>
      <c r="F182" s="230">
        <f t="shared" si="7"/>
        <v>0</v>
      </c>
    </row>
    <row r="183" spans="1:6" ht="27" x14ac:dyDescent="0.35">
      <c r="A183" s="124" t="s">
        <v>202</v>
      </c>
      <c r="B183" s="130" t="s">
        <v>203</v>
      </c>
      <c r="C183" s="126" t="s">
        <v>13</v>
      </c>
      <c r="D183" s="229">
        <v>1</v>
      </c>
      <c r="E183" s="128"/>
      <c r="F183" s="230">
        <f>E183*D183</f>
        <v>0</v>
      </c>
    </row>
    <row r="184" spans="1:6" x14ac:dyDescent="0.35">
      <c r="A184" s="9"/>
      <c r="B184" s="125"/>
      <c r="C184" s="126"/>
      <c r="D184" s="229"/>
      <c r="E184" s="128"/>
      <c r="F184" s="127"/>
    </row>
    <row r="185" spans="1:6" ht="13" x14ac:dyDescent="0.35">
      <c r="A185" s="124"/>
      <c r="B185" s="131" t="s">
        <v>204</v>
      </c>
      <c r="C185" s="126"/>
      <c r="D185" s="229"/>
      <c r="E185" s="128"/>
      <c r="F185" s="127"/>
    </row>
    <row r="186" spans="1:6" ht="25" x14ac:dyDescent="0.35">
      <c r="A186" s="124" t="s">
        <v>205</v>
      </c>
      <c r="B186" s="2" t="s">
        <v>99</v>
      </c>
      <c r="C186" s="126" t="s">
        <v>175</v>
      </c>
      <c r="D186" s="229">
        <f xml:space="preserve"> (1+0.9)*(1+2.15)*1*1.05</f>
        <v>6.2842499999999992</v>
      </c>
      <c r="E186" s="64"/>
      <c r="F186" s="230">
        <f t="shared" ref="F186:F192" si="8">E186*D186</f>
        <v>0</v>
      </c>
    </row>
    <row r="187" spans="1:6" ht="37.5" x14ac:dyDescent="0.35">
      <c r="A187" s="124" t="s">
        <v>206</v>
      </c>
      <c r="B187" s="2" t="s">
        <v>207</v>
      </c>
      <c r="C187" s="126" t="s">
        <v>175</v>
      </c>
      <c r="D187" s="229">
        <f>((1.2*2.35)-2*(0.2*1.55))*0.2*1.05</f>
        <v>0.46199999999999997</v>
      </c>
      <c r="E187" s="64"/>
      <c r="F187" s="230">
        <f t="shared" si="8"/>
        <v>0</v>
      </c>
    </row>
    <row r="188" spans="1:6" ht="14.5" x14ac:dyDescent="0.35">
      <c r="A188" s="124" t="s">
        <v>208</v>
      </c>
      <c r="B188" s="2" t="s">
        <v>464</v>
      </c>
      <c r="C188" s="126" t="s">
        <v>175</v>
      </c>
      <c r="D188" s="229">
        <f>D187/0.2*0.05*1.05</f>
        <v>0.12127499999999999</v>
      </c>
      <c r="E188" s="64"/>
      <c r="F188" s="230">
        <f t="shared" si="8"/>
        <v>0</v>
      </c>
    </row>
    <row r="189" spans="1:6" ht="14.5" x14ac:dyDescent="0.35">
      <c r="A189" s="124" t="s">
        <v>209</v>
      </c>
      <c r="B189" s="2" t="s">
        <v>140</v>
      </c>
      <c r="C189" s="126" t="s">
        <v>175</v>
      </c>
      <c r="D189" s="229">
        <f>D188/0.05*0.1*1.05</f>
        <v>0.25467749999999995</v>
      </c>
      <c r="E189" s="128"/>
      <c r="F189" s="230">
        <f t="shared" si="8"/>
        <v>0</v>
      </c>
    </row>
    <row r="190" spans="1:6" ht="25" x14ac:dyDescent="0.35">
      <c r="A190" s="124" t="s">
        <v>210</v>
      </c>
      <c r="B190" s="2" t="s">
        <v>211</v>
      </c>
      <c r="C190" s="126" t="s">
        <v>175</v>
      </c>
      <c r="D190" s="229">
        <f xml:space="preserve"> 0.3*(((0.8+0.6)*0.2)-(0.2*0.2))+2*(1.55*2)*0.1*0.1*1.05</f>
        <v>0.1371</v>
      </c>
      <c r="E190" s="128"/>
      <c r="F190" s="230">
        <f t="shared" si="8"/>
        <v>0</v>
      </c>
    </row>
    <row r="191" spans="1:6" ht="27" x14ac:dyDescent="0.35">
      <c r="A191" s="124" t="s">
        <v>212</v>
      </c>
      <c r="B191" s="2" t="s">
        <v>213</v>
      </c>
      <c r="C191" s="126" t="s">
        <v>183</v>
      </c>
      <c r="D191" s="229">
        <f>2*((0.8+0.6)-0.2)+((0.8+0.6)*2-0.2)+0.1*3*1.05</f>
        <v>5.3150000000000004</v>
      </c>
      <c r="E191" s="128"/>
      <c r="F191" s="230">
        <f t="shared" si="8"/>
        <v>0</v>
      </c>
    </row>
    <row r="192" spans="1:6" ht="14.5" x14ac:dyDescent="0.35">
      <c r="A192" s="124" t="s">
        <v>214</v>
      </c>
      <c r="B192" s="2" t="s">
        <v>215</v>
      </c>
      <c r="C192" s="126" t="s">
        <v>13</v>
      </c>
      <c r="D192" s="229">
        <v>1</v>
      </c>
      <c r="E192" s="128"/>
      <c r="F192" s="230">
        <f t="shared" si="8"/>
        <v>0</v>
      </c>
    </row>
    <row r="193" spans="1:8" ht="13" x14ac:dyDescent="0.35">
      <c r="A193" s="132"/>
      <c r="B193" s="63" t="s">
        <v>216</v>
      </c>
      <c r="C193" s="88"/>
      <c r="D193" s="263"/>
      <c r="E193" s="89"/>
      <c r="F193" s="222">
        <f>SUM(F160:F192)</f>
        <v>0</v>
      </c>
    </row>
    <row r="194" spans="1:8" ht="15" x14ac:dyDescent="0.35">
      <c r="A194" s="132"/>
      <c r="B194" s="98" t="s">
        <v>490</v>
      </c>
      <c r="C194" s="88"/>
      <c r="D194" s="263">
        <v>3</v>
      </c>
      <c r="E194" s="89"/>
      <c r="F194" s="222">
        <f>F193*D194</f>
        <v>0</v>
      </c>
    </row>
    <row r="195" spans="1:8" ht="15" x14ac:dyDescent="0.35">
      <c r="A195" s="26"/>
      <c r="B195" s="27"/>
      <c r="C195" s="28"/>
      <c r="D195" s="270"/>
      <c r="E195" s="116"/>
      <c r="F195" s="65"/>
      <c r="H195" s="78"/>
    </row>
    <row r="196" spans="1:8" s="133" customFormat="1" ht="15.75" customHeight="1" x14ac:dyDescent="0.35">
      <c r="A196" s="102" t="s">
        <v>425</v>
      </c>
      <c r="B196" s="102" t="s">
        <v>410</v>
      </c>
      <c r="C196" s="2"/>
      <c r="D196" s="225"/>
      <c r="E196" s="105"/>
      <c r="F196" s="105"/>
      <c r="H196" s="78"/>
    </row>
    <row r="197" spans="1:8" s="133" customFormat="1" ht="25" x14ac:dyDescent="0.35">
      <c r="A197" s="2" t="s">
        <v>426</v>
      </c>
      <c r="B197" s="2" t="s">
        <v>99</v>
      </c>
      <c r="C197" s="2" t="s">
        <v>411</v>
      </c>
      <c r="D197" s="225">
        <f>5.5*5.5*1*1.05</f>
        <v>31.762500000000003</v>
      </c>
      <c r="E197" s="105"/>
      <c r="F197" s="226">
        <f t="shared" ref="F197:F208" si="9">D197*E197</f>
        <v>0</v>
      </c>
      <c r="H197" s="78"/>
    </row>
    <row r="198" spans="1:8" s="133" customFormat="1" ht="37.5" x14ac:dyDescent="0.35">
      <c r="A198" s="2" t="s">
        <v>427</v>
      </c>
      <c r="B198" s="2" t="s">
        <v>137</v>
      </c>
      <c r="C198" s="2" t="s">
        <v>411</v>
      </c>
      <c r="D198" s="225">
        <f>(4.1/2)^2*PI()*0.3*1.05</f>
        <v>4.158801084913998</v>
      </c>
      <c r="E198" s="105"/>
      <c r="F198" s="226">
        <f t="shared" si="9"/>
        <v>0</v>
      </c>
      <c r="H198" s="78"/>
    </row>
    <row r="199" spans="1:8" s="133" customFormat="1" ht="18" x14ac:dyDescent="0.35">
      <c r="A199" s="2" t="s">
        <v>428</v>
      </c>
      <c r="B199" s="2" t="s">
        <v>464</v>
      </c>
      <c r="C199" s="2" t="s">
        <v>411</v>
      </c>
      <c r="D199" s="225">
        <f>(4.1/2)^2*PI()*0.05*1.05</f>
        <v>0.69313351415233304</v>
      </c>
      <c r="E199" s="105"/>
      <c r="F199" s="226">
        <f t="shared" si="9"/>
        <v>0</v>
      </c>
      <c r="H199" s="78"/>
    </row>
    <row r="200" spans="1:8" s="133" customFormat="1" ht="25" x14ac:dyDescent="0.35">
      <c r="A200" s="2" t="s">
        <v>429</v>
      </c>
      <c r="B200" s="2" t="s">
        <v>479</v>
      </c>
      <c r="C200" s="2" t="s">
        <v>411</v>
      </c>
      <c r="D200" s="225">
        <f>(3.9/2)^2*PI()*0.15+(3.9*PI())*0.15*0.3*1.05</f>
        <v>2.3708028960315373</v>
      </c>
      <c r="E200" s="105"/>
      <c r="F200" s="226">
        <f t="shared" si="9"/>
        <v>0</v>
      </c>
      <c r="H200" s="78"/>
    </row>
    <row r="201" spans="1:8" s="133" customFormat="1" ht="25" x14ac:dyDescent="0.35">
      <c r="A201" s="2" t="s">
        <v>430</v>
      </c>
      <c r="B201" s="2" t="s">
        <v>480</v>
      </c>
      <c r="C201" s="2" t="s">
        <v>411</v>
      </c>
      <c r="D201" s="225">
        <f>((3.9/2)^2*PI()*0.1-0.8*0.8*0.1)*1.05</f>
        <v>1.1871201368538946</v>
      </c>
      <c r="E201" s="105"/>
      <c r="F201" s="226">
        <f t="shared" si="9"/>
        <v>0</v>
      </c>
      <c r="H201" s="78"/>
    </row>
    <row r="202" spans="1:8" s="133" customFormat="1" ht="18" x14ac:dyDescent="0.35">
      <c r="A202" s="2" t="s">
        <v>431</v>
      </c>
      <c r="B202" s="2" t="s">
        <v>181</v>
      </c>
      <c r="C202" s="2" t="s">
        <v>411</v>
      </c>
      <c r="D202" s="225">
        <f>PI()*(1.8*1.8-1.4*1.4)*2.21*1.05</f>
        <v>9.3312841633985499</v>
      </c>
      <c r="E202" s="105"/>
      <c r="F202" s="226">
        <f t="shared" si="9"/>
        <v>0</v>
      </c>
      <c r="H202" s="78"/>
    </row>
    <row r="203" spans="1:8" s="133" customFormat="1" ht="25" x14ac:dyDescent="0.35">
      <c r="A203" s="2" t="s">
        <v>432</v>
      </c>
      <c r="B203" s="2" t="s">
        <v>145</v>
      </c>
      <c r="C203" s="2" t="s">
        <v>412</v>
      </c>
      <c r="D203" s="225">
        <f>2.8*PI()*2.1*1.05</f>
        <v>19.396193043263384</v>
      </c>
      <c r="E203" s="105"/>
      <c r="F203" s="226">
        <f t="shared" si="9"/>
        <v>0</v>
      </c>
      <c r="H203" s="78"/>
    </row>
    <row r="204" spans="1:8" s="133" customFormat="1" ht="25" x14ac:dyDescent="0.35">
      <c r="A204" s="2" t="s">
        <v>433</v>
      </c>
      <c r="B204" s="2" t="s">
        <v>185</v>
      </c>
      <c r="C204" s="2" t="s">
        <v>412</v>
      </c>
      <c r="D204" s="225">
        <f>D203</f>
        <v>19.396193043263384</v>
      </c>
      <c r="E204" s="105"/>
      <c r="F204" s="226">
        <f t="shared" si="9"/>
        <v>0</v>
      </c>
      <c r="H204" s="78"/>
    </row>
    <row r="205" spans="1:8" s="133" customFormat="1" ht="25" x14ac:dyDescent="0.35">
      <c r="A205" s="2" t="s">
        <v>434</v>
      </c>
      <c r="B205" s="2" t="s">
        <v>476</v>
      </c>
      <c r="C205" s="2" t="s">
        <v>412</v>
      </c>
      <c r="D205" s="225">
        <f>(1.95*1.95*PI()-0.8*0.8)*1.05</f>
        <v>11.871201368538946</v>
      </c>
      <c r="E205" s="105"/>
      <c r="F205" s="226">
        <f t="shared" si="9"/>
        <v>0</v>
      </c>
      <c r="H205" s="78"/>
    </row>
    <row r="206" spans="1:8" s="133" customFormat="1" ht="25" x14ac:dyDescent="0.35">
      <c r="A206" s="2" t="s">
        <v>435</v>
      </c>
      <c r="B206" s="2" t="s">
        <v>399</v>
      </c>
      <c r="C206" s="2" t="s">
        <v>412</v>
      </c>
      <c r="D206" s="225">
        <f>PI()*(1.8*1.8-1.4*1.4)*1.05</f>
        <v>4.2223005264246831</v>
      </c>
      <c r="E206" s="105"/>
      <c r="F206" s="226">
        <f t="shared" si="9"/>
        <v>0</v>
      </c>
      <c r="H206" s="78"/>
    </row>
    <row r="207" spans="1:8" s="133" customFormat="1" ht="25" x14ac:dyDescent="0.35">
      <c r="A207" s="2" t="s">
        <v>436</v>
      </c>
      <c r="B207" s="2" t="s">
        <v>413</v>
      </c>
      <c r="C207" s="2" t="s">
        <v>74</v>
      </c>
      <c r="D207" s="225">
        <f>1</f>
        <v>1</v>
      </c>
      <c r="E207" s="105"/>
      <c r="F207" s="226">
        <f t="shared" si="9"/>
        <v>0</v>
      </c>
      <c r="H207" s="78"/>
    </row>
    <row r="208" spans="1:8" s="133" customFormat="1" ht="25" x14ac:dyDescent="0.35">
      <c r="A208" s="2" t="s">
        <v>437</v>
      </c>
      <c r="B208" s="2" t="s">
        <v>414</v>
      </c>
      <c r="C208" s="2" t="s">
        <v>13</v>
      </c>
      <c r="D208" s="225">
        <v>1</v>
      </c>
      <c r="E208" s="105"/>
      <c r="F208" s="226">
        <f t="shared" si="9"/>
        <v>0</v>
      </c>
      <c r="H208" s="78"/>
    </row>
    <row r="209" spans="1:8" s="133" customFormat="1" ht="15" x14ac:dyDescent="0.35">
      <c r="A209" s="2"/>
      <c r="B209" s="2"/>
      <c r="C209" s="2"/>
      <c r="D209" s="225"/>
      <c r="E209" s="105"/>
      <c r="F209" s="105"/>
      <c r="H209" s="78"/>
    </row>
    <row r="210" spans="1:8" s="133" customFormat="1" ht="15" x14ac:dyDescent="0.35">
      <c r="A210" s="2"/>
      <c r="B210" s="102" t="s">
        <v>415</v>
      </c>
      <c r="C210" s="2"/>
      <c r="D210" s="225"/>
      <c r="E210" s="105"/>
      <c r="F210" s="105"/>
      <c r="H210" s="78"/>
    </row>
    <row r="211" spans="1:8" s="133" customFormat="1" ht="25" x14ac:dyDescent="0.35">
      <c r="A211" s="2" t="s">
        <v>438</v>
      </c>
      <c r="B211" s="2" t="s">
        <v>99</v>
      </c>
      <c r="C211" s="2" t="s">
        <v>411</v>
      </c>
      <c r="D211" s="225">
        <f>2.5*2.5*1*1.05</f>
        <v>6.5625</v>
      </c>
      <c r="E211" s="105"/>
      <c r="F211" s="226">
        <f t="shared" ref="F211:F220" si="10">D211*E211</f>
        <v>0</v>
      </c>
      <c r="H211" s="78"/>
    </row>
    <row r="212" spans="1:8" s="133" customFormat="1" ht="25" x14ac:dyDescent="0.35">
      <c r="A212" s="2" t="s">
        <v>439</v>
      </c>
      <c r="B212" s="2" t="s">
        <v>396</v>
      </c>
      <c r="C212" s="2" t="s">
        <v>411</v>
      </c>
      <c r="D212" s="225">
        <f>2.2*1.9*0.2*1.05</f>
        <v>0.87780000000000002</v>
      </c>
      <c r="E212" s="105"/>
      <c r="F212" s="226">
        <f t="shared" si="10"/>
        <v>0</v>
      </c>
      <c r="H212" s="78"/>
    </row>
    <row r="213" spans="1:8" s="133" customFormat="1" ht="18" x14ac:dyDescent="0.35">
      <c r="A213" s="2" t="s">
        <v>440</v>
      </c>
      <c r="B213" s="2" t="s">
        <v>464</v>
      </c>
      <c r="C213" s="2" t="s">
        <v>411</v>
      </c>
      <c r="D213" s="225">
        <f>2*1.9*0.05*1.05</f>
        <v>0.19950000000000001</v>
      </c>
      <c r="E213" s="105"/>
      <c r="F213" s="226">
        <f t="shared" si="10"/>
        <v>0</v>
      </c>
      <c r="H213" s="78"/>
    </row>
    <row r="214" spans="1:8" s="133" customFormat="1" ht="25" x14ac:dyDescent="0.35">
      <c r="A214" s="2" t="s">
        <v>441</v>
      </c>
      <c r="B214" s="2" t="s">
        <v>470</v>
      </c>
      <c r="C214" s="2" t="s">
        <v>411</v>
      </c>
      <c r="D214" s="225">
        <f>((2*1.45*0.1)*2-(0.6*0.6*0.1))*1.05</f>
        <v>0.57119999999999993</v>
      </c>
      <c r="E214" s="105"/>
      <c r="F214" s="226">
        <f t="shared" si="10"/>
        <v>0</v>
      </c>
      <c r="H214" s="78"/>
    </row>
    <row r="215" spans="1:8" s="133" customFormat="1" ht="25" x14ac:dyDescent="0.35">
      <c r="A215" s="2" t="s">
        <v>442</v>
      </c>
      <c r="B215" s="2" t="s">
        <v>471</v>
      </c>
      <c r="C215" s="2" t="s">
        <v>411</v>
      </c>
      <c r="D215" s="225">
        <f>(2*1*0.2+1.6*1*0.2)*1.05</f>
        <v>0.75600000000000012</v>
      </c>
      <c r="E215" s="105"/>
      <c r="F215" s="226">
        <f t="shared" si="10"/>
        <v>0</v>
      </c>
      <c r="H215" s="78"/>
    </row>
    <row r="216" spans="1:8" s="133" customFormat="1" ht="30.5" x14ac:dyDescent="0.35">
      <c r="A216" s="2" t="s">
        <v>443</v>
      </c>
      <c r="B216" s="2" t="s">
        <v>416</v>
      </c>
      <c r="C216" s="2" t="s">
        <v>412</v>
      </c>
      <c r="D216" s="225">
        <f>(1*2*1+1.8*1+1*1.8)*1.05</f>
        <v>5.88</v>
      </c>
      <c r="E216" s="105"/>
      <c r="F216" s="226">
        <f t="shared" si="10"/>
        <v>0</v>
      </c>
      <c r="H216" s="78"/>
    </row>
    <row r="217" spans="1:8" s="133" customFormat="1" ht="25" x14ac:dyDescent="0.35">
      <c r="A217" s="2" t="s">
        <v>444</v>
      </c>
      <c r="B217" s="2" t="s">
        <v>472</v>
      </c>
      <c r="C217" s="2" t="s">
        <v>412</v>
      </c>
      <c r="D217" s="225">
        <f>(1.15*2.5-0.8*0.8)*1.05</f>
        <v>2.3467500000000001</v>
      </c>
      <c r="E217" s="105"/>
      <c r="F217" s="226">
        <f t="shared" si="10"/>
        <v>0</v>
      </c>
      <c r="H217" s="78"/>
    </row>
    <row r="218" spans="1:8" s="133" customFormat="1" ht="25" x14ac:dyDescent="0.35">
      <c r="A218" s="2" t="s">
        <v>445</v>
      </c>
      <c r="B218" s="2" t="s">
        <v>417</v>
      </c>
      <c r="C218" s="2" t="s">
        <v>398</v>
      </c>
      <c r="D218" s="225">
        <f>(2.2+1*2)*0.2*1.05</f>
        <v>0.88200000000000012</v>
      </c>
      <c r="E218" s="105"/>
      <c r="F218" s="226">
        <f t="shared" si="10"/>
        <v>0</v>
      </c>
      <c r="H218" s="78"/>
    </row>
    <row r="219" spans="1:8" s="133" customFormat="1" ht="25" x14ac:dyDescent="0.35">
      <c r="A219" s="2" t="s">
        <v>446</v>
      </c>
      <c r="B219" s="2" t="s">
        <v>400</v>
      </c>
      <c r="C219" s="2" t="s">
        <v>74</v>
      </c>
      <c r="D219" s="225">
        <v>1</v>
      </c>
      <c r="E219" s="105"/>
      <c r="F219" s="226">
        <f t="shared" si="10"/>
        <v>0</v>
      </c>
      <c r="H219" s="78"/>
    </row>
    <row r="220" spans="1:8" s="133" customFormat="1" ht="37.5" x14ac:dyDescent="0.35">
      <c r="A220" s="2" t="s">
        <v>447</v>
      </c>
      <c r="B220" s="2" t="s">
        <v>418</v>
      </c>
      <c r="C220" s="2" t="s">
        <v>13</v>
      </c>
      <c r="D220" s="225">
        <v>1</v>
      </c>
      <c r="E220" s="105"/>
      <c r="F220" s="226">
        <f t="shared" si="10"/>
        <v>0</v>
      </c>
      <c r="H220" s="78"/>
    </row>
    <row r="221" spans="1:8" s="133" customFormat="1" ht="37.5" x14ac:dyDescent="0.35">
      <c r="A221" s="2" t="s">
        <v>448</v>
      </c>
      <c r="B221" s="2" t="s">
        <v>419</v>
      </c>
      <c r="C221" s="2" t="s">
        <v>13</v>
      </c>
      <c r="D221" s="225">
        <v>1</v>
      </c>
      <c r="E221" s="105"/>
      <c r="F221" s="226">
        <f>D221*E221</f>
        <v>0</v>
      </c>
      <c r="H221" s="78"/>
    </row>
    <row r="222" spans="1:8" s="133" customFormat="1" ht="15" x14ac:dyDescent="0.35">
      <c r="A222" s="2"/>
      <c r="B222" s="2"/>
      <c r="C222" s="2"/>
      <c r="D222" s="225"/>
      <c r="E222" s="105"/>
      <c r="F222" s="105"/>
      <c r="H222" s="78"/>
    </row>
    <row r="223" spans="1:8" s="133" customFormat="1" ht="15" x14ac:dyDescent="0.35">
      <c r="A223" s="2"/>
      <c r="B223" s="102" t="s">
        <v>420</v>
      </c>
      <c r="C223" s="2"/>
      <c r="D223" s="225"/>
      <c r="E223" s="105"/>
      <c r="F223" s="105"/>
      <c r="H223" s="78"/>
    </row>
    <row r="224" spans="1:8" s="133" customFormat="1" ht="25" x14ac:dyDescent="0.35">
      <c r="A224" s="2" t="s">
        <v>449</v>
      </c>
      <c r="B224" s="2" t="s">
        <v>99</v>
      </c>
      <c r="C224" s="2" t="s">
        <v>411</v>
      </c>
      <c r="D224" s="225">
        <f xml:space="preserve"> (1+0.8)*(1+2.15)*1*1.05</f>
        <v>5.9535</v>
      </c>
      <c r="E224" s="105"/>
      <c r="F224" s="226">
        <f t="shared" ref="F224:F230" si="11">D224*E224</f>
        <v>0</v>
      </c>
      <c r="H224" s="78"/>
    </row>
    <row r="225" spans="1:8" s="133" customFormat="1" ht="25" x14ac:dyDescent="0.35">
      <c r="A225" s="2" t="s">
        <v>450</v>
      </c>
      <c r="B225" s="2" t="s">
        <v>421</v>
      </c>
      <c r="C225" s="2" t="s">
        <v>411</v>
      </c>
      <c r="D225" s="225">
        <f>((1.2*2.35)-2*(0.2*1.55))*0.2*1.05</f>
        <v>0.46199999999999997</v>
      </c>
      <c r="E225" s="105"/>
      <c r="F225" s="226">
        <f t="shared" si="11"/>
        <v>0</v>
      </c>
      <c r="H225" s="78"/>
    </row>
    <row r="226" spans="1:8" s="133" customFormat="1" ht="18" x14ac:dyDescent="0.35">
      <c r="A226" s="2" t="s">
        <v>451</v>
      </c>
      <c r="B226" s="2" t="s">
        <v>464</v>
      </c>
      <c r="C226" s="2" t="s">
        <v>411</v>
      </c>
      <c r="D226" s="225">
        <f>D225/0.2*0.05*1.05</f>
        <v>0.12127499999999999</v>
      </c>
      <c r="E226" s="105"/>
      <c r="F226" s="226">
        <f t="shared" si="11"/>
        <v>0</v>
      </c>
      <c r="H226" s="78"/>
    </row>
    <row r="227" spans="1:8" s="133" customFormat="1" ht="25" x14ac:dyDescent="0.35">
      <c r="A227" s="2" t="s">
        <v>452</v>
      </c>
      <c r="B227" s="2" t="s">
        <v>481</v>
      </c>
      <c r="C227" s="2" t="s">
        <v>411</v>
      </c>
      <c r="D227" s="225">
        <f>D226/0.05*0.1*1.05</f>
        <v>0.25467749999999995</v>
      </c>
      <c r="E227" s="105"/>
      <c r="F227" s="226">
        <f t="shared" si="11"/>
        <v>0</v>
      </c>
      <c r="H227" s="78"/>
    </row>
    <row r="228" spans="1:8" s="133" customFormat="1" ht="18" x14ac:dyDescent="0.35">
      <c r="A228" s="2" t="s">
        <v>453</v>
      </c>
      <c r="B228" s="2" t="s">
        <v>422</v>
      </c>
      <c r="C228" s="2" t="s">
        <v>411</v>
      </c>
      <c r="D228" s="225">
        <f xml:space="preserve"> 0.3*(((0.8+0.6)*0.2)-(0.2*0.2))+2*(1.55*2)*0.1*0.1*1.05</f>
        <v>0.1371</v>
      </c>
      <c r="E228" s="105"/>
      <c r="F228" s="226">
        <f t="shared" si="11"/>
        <v>0</v>
      </c>
      <c r="H228" s="78"/>
    </row>
    <row r="229" spans="1:8" s="133" customFormat="1" ht="18" x14ac:dyDescent="0.35">
      <c r="A229" s="2" t="s">
        <v>454</v>
      </c>
      <c r="B229" s="2" t="s">
        <v>423</v>
      </c>
      <c r="C229" s="2" t="s">
        <v>412</v>
      </c>
      <c r="D229" s="225">
        <f>(2*((0.8+0.6)-0.2)+((0.8+0.6)*2-0.2)+0.1*3)*1.05</f>
        <v>5.5650000000000004</v>
      </c>
      <c r="E229" s="105"/>
      <c r="F229" s="226">
        <f t="shared" si="11"/>
        <v>0</v>
      </c>
      <c r="H229" s="78"/>
    </row>
    <row r="230" spans="1:8" s="133" customFormat="1" ht="33.5" x14ac:dyDescent="0.35">
      <c r="A230" s="2" t="s">
        <v>455</v>
      </c>
      <c r="B230" s="2" t="s">
        <v>424</v>
      </c>
      <c r="C230" s="2" t="s">
        <v>13</v>
      </c>
      <c r="D230" s="225">
        <v>1</v>
      </c>
      <c r="E230" s="105"/>
      <c r="F230" s="226">
        <f t="shared" si="11"/>
        <v>0</v>
      </c>
      <c r="H230" s="78"/>
    </row>
    <row r="231" spans="1:8" s="133" customFormat="1" ht="15" x14ac:dyDescent="0.35">
      <c r="A231" s="2"/>
      <c r="B231" s="102" t="s">
        <v>456</v>
      </c>
      <c r="C231" s="2"/>
      <c r="D231" s="264"/>
      <c r="E231" s="106"/>
      <c r="F231" s="227">
        <f>SUM(F197:F230)</f>
        <v>0</v>
      </c>
      <c r="H231" s="78"/>
    </row>
    <row r="232" spans="1:8" s="133" customFormat="1" ht="18" x14ac:dyDescent="0.35">
      <c r="A232" s="2"/>
      <c r="B232" s="107" t="s">
        <v>489</v>
      </c>
      <c r="C232" s="2"/>
      <c r="D232" s="265">
        <v>2</v>
      </c>
      <c r="E232" s="106"/>
      <c r="F232" s="227">
        <f>F231*D232</f>
        <v>0</v>
      </c>
      <c r="H232" s="78"/>
    </row>
    <row r="233" spans="1:8" s="101" customFormat="1" ht="15.5" x14ac:dyDescent="0.35">
      <c r="A233" s="134"/>
      <c r="B233" s="135"/>
      <c r="C233" s="136"/>
      <c r="D233" s="272"/>
      <c r="E233" s="137"/>
      <c r="F233" s="138"/>
    </row>
    <row r="234" spans="1:8" s="101" customFormat="1" ht="15.5" x14ac:dyDescent="0.35">
      <c r="A234" s="139"/>
      <c r="B234" s="140" t="s">
        <v>217</v>
      </c>
      <c r="C234" s="141"/>
      <c r="D234" s="273"/>
      <c r="E234" s="142"/>
      <c r="F234" s="231">
        <f>F194+F232</f>
        <v>0</v>
      </c>
      <c r="H234" s="9"/>
    </row>
    <row r="235" spans="1:8" ht="13" x14ac:dyDescent="0.35">
      <c r="A235" s="26"/>
      <c r="B235" s="123"/>
      <c r="C235" s="39"/>
      <c r="D235" s="232"/>
      <c r="E235" s="64"/>
      <c r="F235" s="65"/>
    </row>
    <row r="236" spans="1:8" ht="13" x14ac:dyDescent="0.35">
      <c r="A236" s="117">
        <v>3.3</v>
      </c>
      <c r="B236" s="118" t="s">
        <v>218</v>
      </c>
      <c r="C236" s="119"/>
      <c r="D236" s="271"/>
      <c r="E236" s="120"/>
      <c r="F236" s="121"/>
    </row>
    <row r="237" spans="1:8" ht="13" x14ac:dyDescent="0.35">
      <c r="A237" s="26"/>
      <c r="B237" s="123"/>
      <c r="C237" s="39"/>
      <c r="D237" s="232"/>
      <c r="E237" s="64"/>
      <c r="F237" s="65"/>
    </row>
    <row r="238" spans="1:8" ht="13" x14ac:dyDescent="0.35">
      <c r="A238" s="26" t="s">
        <v>219</v>
      </c>
      <c r="B238" s="123" t="s">
        <v>220</v>
      </c>
      <c r="C238" s="39"/>
      <c r="D238" s="232"/>
      <c r="E238" s="64"/>
      <c r="F238" s="65"/>
    </row>
    <row r="239" spans="1:8" ht="25" x14ac:dyDescent="0.35">
      <c r="A239" s="92" t="s">
        <v>221</v>
      </c>
      <c r="B239" s="2" t="s">
        <v>59</v>
      </c>
      <c r="C239" s="75" t="s">
        <v>49</v>
      </c>
      <c r="D239" s="223">
        <f xml:space="preserve"> (1+5.7)*(1+5.4)*0.5*1.05</f>
        <v>22.512000000000004</v>
      </c>
      <c r="E239" s="43"/>
      <c r="F239" s="220">
        <f t="shared" ref="F239:F250" si="12">D239*E239</f>
        <v>0</v>
      </c>
    </row>
    <row r="240" spans="1:8" ht="25" x14ac:dyDescent="0.35">
      <c r="A240" s="92" t="s">
        <v>222</v>
      </c>
      <c r="B240" s="2" t="s">
        <v>61</v>
      </c>
      <c r="C240" s="75" t="s">
        <v>49</v>
      </c>
      <c r="D240" s="223">
        <f>((5.2*3.4)-2*((0.7*0.5)+(1.5*1.05))  )*0.15*1.05</f>
        <v>2.1782249999999999</v>
      </c>
      <c r="E240" s="43"/>
      <c r="F240" s="220">
        <f t="shared" si="12"/>
        <v>0</v>
      </c>
    </row>
    <row r="241" spans="1:6" ht="14.5" x14ac:dyDescent="0.35">
      <c r="A241" s="92" t="s">
        <v>223</v>
      </c>
      <c r="B241" s="2" t="s">
        <v>464</v>
      </c>
      <c r="C241" s="75" t="s">
        <v>49</v>
      </c>
      <c r="D241" s="223">
        <f>D240/0.3*0.05*1.05</f>
        <v>0.38118937500000005</v>
      </c>
      <c r="E241" s="43"/>
      <c r="F241" s="220">
        <f t="shared" si="12"/>
        <v>0</v>
      </c>
    </row>
    <row r="242" spans="1:6" ht="25" x14ac:dyDescent="0.35">
      <c r="A242" s="92" t="s">
        <v>224</v>
      </c>
      <c r="B242" s="2" t="s">
        <v>465</v>
      </c>
      <c r="C242" s="75" t="s">
        <v>49</v>
      </c>
      <c r="D242" s="223">
        <f>((3.7-0.2)*(3.4-0.2)-2*(0.7*0.5)  )*0.1*1.05</f>
        <v>1.1025</v>
      </c>
      <c r="E242" s="43"/>
      <c r="F242" s="220">
        <f t="shared" si="12"/>
        <v>0</v>
      </c>
    </row>
    <row r="243" spans="1:6" ht="25" x14ac:dyDescent="0.35">
      <c r="A243" s="92" t="s">
        <v>225</v>
      </c>
      <c r="B243" s="2" t="s">
        <v>482</v>
      </c>
      <c r="C243" s="75" t="s">
        <v>49</v>
      </c>
      <c r="D243" s="232">
        <f xml:space="preserve"> ((0.9)*(1)*0.1  -  (0.5*0.5)*0.1)*1.05</f>
        <v>6.8250000000000005E-2</v>
      </c>
      <c r="E243" s="43"/>
      <c r="F243" s="220">
        <f t="shared" si="12"/>
        <v>0</v>
      </c>
    </row>
    <row r="244" spans="1:6" ht="25" x14ac:dyDescent="0.35">
      <c r="A244" s="92" t="s">
        <v>226</v>
      </c>
      <c r="B244" s="2" t="s">
        <v>483</v>
      </c>
      <c r="C244" s="75" t="s">
        <v>49</v>
      </c>
      <c r="D244" s="223">
        <f>( 0.2*(2*(1.7+1)*0.7+ (1*0.7) +((1.9+2)*2+0.7*2)*0.1*0.2 ))*1.05</f>
        <v>0.97943999999999998</v>
      </c>
      <c r="E244" s="43"/>
      <c r="F244" s="220">
        <f t="shared" si="12"/>
        <v>0</v>
      </c>
    </row>
    <row r="245" spans="1:6" ht="14.5" x14ac:dyDescent="0.35">
      <c r="A245" s="92" t="s">
        <v>227</v>
      </c>
      <c r="B245" s="2" t="s">
        <v>228</v>
      </c>
      <c r="C245" s="75" t="s">
        <v>107</v>
      </c>
      <c r="D245" s="223">
        <f>(2*(1.7*1)*0.7+  2*(1.2*0.7)+((1.9+2)*2+0.7*2))*1.05</f>
        <v>13.922999999999998</v>
      </c>
      <c r="E245" s="43"/>
      <c r="F245" s="220">
        <f t="shared" si="12"/>
        <v>0</v>
      </c>
    </row>
    <row r="246" spans="1:6" ht="25" x14ac:dyDescent="0.35">
      <c r="A246" s="92" t="s">
        <v>229</v>
      </c>
      <c r="B246" s="2" t="s">
        <v>484</v>
      </c>
      <c r="C246" s="75" t="s">
        <v>107</v>
      </c>
      <c r="D246" s="223">
        <f>0.1*(1)*1*1.05</f>
        <v>0.10500000000000001</v>
      </c>
      <c r="E246" s="43"/>
      <c r="F246" s="220">
        <f t="shared" si="12"/>
        <v>0</v>
      </c>
    </row>
    <row r="247" spans="1:6" ht="25" x14ac:dyDescent="0.35">
      <c r="A247" s="92" t="s">
        <v>230</v>
      </c>
      <c r="B247" s="2" t="s">
        <v>231</v>
      </c>
      <c r="C247" s="75" t="s">
        <v>107</v>
      </c>
      <c r="D247" s="223">
        <f>(1+0.9*2)*0.2*1.05</f>
        <v>0.58799999999999997</v>
      </c>
      <c r="E247" s="43"/>
      <c r="F247" s="220">
        <f t="shared" si="12"/>
        <v>0</v>
      </c>
    </row>
    <row r="248" spans="1:6" x14ac:dyDescent="0.35">
      <c r="A248" s="92" t="s">
        <v>232</v>
      </c>
      <c r="B248" s="2" t="s">
        <v>233</v>
      </c>
      <c r="C248" s="75" t="s">
        <v>74</v>
      </c>
      <c r="D248" s="223">
        <v>1</v>
      </c>
      <c r="E248" s="43"/>
      <c r="F248" s="220">
        <f t="shared" si="12"/>
        <v>0</v>
      </c>
    </row>
    <row r="249" spans="1:6" ht="37.5" x14ac:dyDescent="0.35">
      <c r="A249" s="92" t="s">
        <v>234</v>
      </c>
      <c r="B249" s="2" t="s">
        <v>235</v>
      </c>
      <c r="C249" s="75" t="s">
        <v>13</v>
      </c>
      <c r="D249" s="223">
        <v>1</v>
      </c>
      <c r="E249" s="43"/>
      <c r="F249" s="220">
        <f t="shared" si="12"/>
        <v>0</v>
      </c>
    </row>
    <row r="250" spans="1:6" ht="14.5" x14ac:dyDescent="0.35">
      <c r="A250" s="92" t="s">
        <v>236</v>
      </c>
      <c r="B250" s="2" t="s">
        <v>237</v>
      </c>
      <c r="C250" s="75" t="s">
        <v>13</v>
      </c>
      <c r="D250" s="223">
        <v>1</v>
      </c>
      <c r="E250" s="43"/>
      <c r="F250" s="220">
        <f t="shared" si="12"/>
        <v>0</v>
      </c>
    </row>
    <row r="251" spans="1:6" ht="13" x14ac:dyDescent="0.35">
      <c r="A251" s="48"/>
      <c r="B251" s="49" t="s">
        <v>463</v>
      </c>
      <c r="C251" s="50"/>
      <c r="D251" s="253"/>
      <c r="E251" s="51"/>
      <c r="F251" s="218">
        <f>SUM(F239:F250)</f>
        <v>0</v>
      </c>
    </row>
    <row r="252" spans="1:6" ht="13" x14ac:dyDescent="0.35">
      <c r="A252" s="48"/>
      <c r="B252" s="94" t="s">
        <v>238</v>
      </c>
      <c r="C252" s="50"/>
      <c r="D252" s="261">
        <v>10</v>
      </c>
      <c r="E252" s="51"/>
      <c r="F252" s="218">
        <f>F251*D252</f>
        <v>0</v>
      </c>
    </row>
    <row r="253" spans="1:6" ht="13" x14ac:dyDescent="0.35">
      <c r="A253" s="92"/>
      <c r="B253" s="102"/>
      <c r="C253" s="75"/>
      <c r="D253" s="223"/>
      <c r="E253" s="43"/>
      <c r="F253" s="103"/>
    </row>
    <row r="254" spans="1:6" ht="13" x14ac:dyDescent="0.35">
      <c r="A254" s="26" t="s">
        <v>239</v>
      </c>
      <c r="B254" s="123" t="s">
        <v>240</v>
      </c>
      <c r="C254" s="39"/>
      <c r="D254" s="232"/>
      <c r="E254" s="64"/>
      <c r="F254" s="65"/>
    </row>
    <row r="255" spans="1:6" ht="14.5" x14ac:dyDescent="0.35">
      <c r="A255" s="92" t="s">
        <v>241</v>
      </c>
      <c r="B255" s="143" t="s">
        <v>99</v>
      </c>
      <c r="C255" s="39" t="s">
        <v>49</v>
      </c>
      <c r="D255" s="223">
        <f xml:space="preserve"> 8*6*0.5</f>
        <v>24</v>
      </c>
      <c r="E255" s="43"/>
      <c r="F255" s="220">
        <f>D255*E255</f>
        <v>0</v>
      </c>
    </row>
    <row r="256" spans="1:6" ht="25" x14ac:dyDescent="0.35">
      <c r="A256" s="92" t="s">
        <v>242</v>
      </c>
      <c r="B256" s="2" t="s">
        <v>243</v>
      </c>
      <c r="C256" s="39" t="s">
        <v>49</v>
      </c>
      <c r="D256" s="223">
        <f>((5.2*3.4)-2*((0.7*0.5)+(1.5*1.05))  )*0.15</f>
        <v>2.0744999999999996</v>
      </c>
      <c r="E256" s="43"/>
      <c r="F256" s="220">
        <f t="shared" ref="F256:F266" si="13">D256*E256</f>
        <v>0</v>
      </c>
    </row>
    <row r="257" spans="1:8" ht="14.5" x14ac:dyDescent="0.35">
      <c r="A257" s="92" t="s">
        <v>244</v>
      </c>
      <c r="B257" s="2" t="s">
        <v>464</v>
      </c>
      <c r="C257" s="39" t="s">
        <v>49</v>
      </c>
      <c r="D257" s="223">
        <f>D256/0.3*0.05</f>
        <v>0.34575</v>
      </c>
      <c r="E257" s="43"/>
      <c r="F257" s="220">
        <f t="shared" si="13"/>
        <v>0</v>
      </c>
    </row>
    <row r="258" spans="1:8" ht="25" x14ac:dyDescent="0.35">
      <c r="A258" s="92" t="s">
        <v>245</v>
      </c>
      <c r="B258" s="2" t="s">
        <v>465</v>
      </c>
      <c r="C258" s="39" t="s">
        <v>49</v>
      </c>
      <c r="D258" s="223">
        <f>((3.7-0.2)*(3.4-0.2)-2*(0.7*0.5)  )*0.1</f>
        <v>1.05</v>
      </c>
      <c r="E258" s="43"/>
      <c r="F258" s="220">
        <f t="shared" si="13"/>
        <v>0</v>
      </c>
    </row>
    <row r="259" spans="1:8" ht="25" x14ac:dyDescent="0.35">
      <c r="A259" s="92" t="s">
        <v>246</v>
      </c>
      <c r="B259" s="2" t="s">
        <v>485</v>
      </c>
      <c r="C259" s="39" t="s">
        <v>49</v>
      </c>
      <c r="D259" s="223">
        <v>0.09</v>
      </c>
      <c r="E259" s="43"/>
      <c r="F259" s="220">
        <f t="shared" si="13"/>
        <v>0</v>
      </c>
    </row>
    <row r="260" spans="1:8" ht="25" x14ac:dyDescent="0.35">
      <c r="A260" s="92" t="s">
        <v>247</v>
      </c>
      <c r="B260" s="2" t="s">
        <v>486</v>
      </c>
      <c r="C260" s="39" t="s">
        <v>49</v>
      </c>
      <c r="D260" s="223">
        <f xml:space="preserve"> 0.2*(2*(1.7+1)*0.7+ (1*0.7) +((1.9+2)*2+0.7*2)*0.1*0.2 )</f>
        <v>0.93279999999999996</v>
      </c>
      <c r="E260" s="43"/>
      <c r="F260" s="220">
        <f t="shared" si="13"/>
        <v>0</v>
      </c>
    </row>
    <row r="261" spans="1:8" ht="14.5" x14ac:dyDescent="0.35">
      <c r="A261" s="92" t="s">
        <v>248</v>
      </c>
      <c r="B261" s="2" t="s">
        <v>249</v>
      </c>
      <c r="C261" s="39" t="s">
        <v>49</v>
      </c>
      <c r="D261" s="223">
        <f>2*(1.7*1)*0.7+  2*(1.2*0.7)+((1.9+2)*2+0.7*2)</f>
        <v>13.259999999999998</v>
      </c>
      <c r="E261" s="43"/>
      <c r="F261" s="220">
        <f t="shared" si="13"/>
        <v>0</v>
      </c>
    </row>
    <row r="262" spans="1:8" ht="25" x14ac:dyDescent="0.35">
      <c r="A262" s="92" t="s">
        <v>250</v>
      </c>
      <c r="B262" s="2" t="s">
        <v>487</v>
      </c>
      <c r="C262" s="39" t="s">
        <v>68</v>
      </c>
      <c r="D262" s="223">
        <f>0.1*(1)*1</f>
        <v>0.1</v>
      </c>
      <c r="E262" s="43"/>
      <c r="F262" s="220">
        <f t="shared" si="13"/>
        <v>0</v>
      </c>
    </row>
    <row r="263" spans="1:8" ht="25" x14ac:dyDescent="0.35">
      <c r="A263" s="92" t="s">
        <v>251</v>
      </c>
      <c r="B263" s="2" t="s">
        <v>252</v>
      </c>
      <c r="C263" s="39" t="s">
        <v>68</v>
      </c>
      <c r="D263" s="223">
        <f>(1+0.9*2)*0.2</f>
        <v>0.55999999999999994</v>
      </c>
      <c r="E263" s="43"/>
      <c r="F263" s="220">
        <f t="shared" si="13"/>
        <v>0</v>
      </c>
    </row>
    <row r="264" spans="1:8" x14ac:dyDescent="0.35">
      <c r="A264" s="92" t="s">
        <v>253</v>
      </c>
      <c r="B264" s="2" t="s">
        <v>254</v>
      </c>
      <c r="C264" s="75" t="s">
        <v>74</v>
      </c>
      <c r="D264" s="223">
        <v>1</v>
      </c>
      <c r="E264" s="43"/>
      <c r="F264" s="220">
        <f t="shared" si="13"/>
        <v>0</v>
      </c>
    </row>
    <row r="265" spans="1:8" ht="14.5" x14ac:dyDescent="0.35">
      <c r="A265" s="92" t="s">
        <v>255</v>
      </c>
      <c r="B265" s="2" t="s">
        <v>237</v>
      </c>
      <c r="C265" s="75" t="s">
        <v>13</v>
      </c>
      <c r="D265" s="223">
        <v>1</v>
      </c>
      <c r="E265" s="43"/>
      <c r="F265" s="220">
        <f t="shared" si="13"/>
        <v>0</v>
      </c>
    </row>
    <row r="266" spans="1:8" ht="37.5" x14ac:dyDescent="0.35">
      <c r="A266" s="92" t="s">
        <v>256</v>
      </c>
      <c r="B266" s="2" t="s">
        <v>235</v>
      </c>
      <c r="C266" s="75" t="s">
        <v>13</v>
      </c>
      <c r="D266" s="223">
        <v>1</v>
      </c>
      <c r="E266" s="43"/>
      <c r="F266" s="220">
        <f t="shared" si="13"/>
        <v>0</v>
      </c>
    </row>
    <row r="267" spans="1:8" ht="13" x14ac:dyDescent="0.35">
      <c r="A267" s="48"/>
      <c r="B267" s="49" t="s">
        <v>257</v>
      </c>
      <c r="C267" s="50"/>
      <c r="D267" s="253"/>
      <c r="E267" s="51"/>
      <c r="F267" s="218">
        <f>SUM(F255:F266)</f>
        <v>0</v>
      </c>
    </row>
    <row r="268" spans="1:8" ht="13" x14ac:dyDescent="0.35">
      <c r="A268" s="48"/>
      <c r="B268" s="94" t="s">
        <v>258</v>
      </c>
      <c r="C268" s="50"/>
      <c r="D268" s="261">
        <v>2</v>
      </c>
      <c r="E268" s="51"/>
      <c r="F268" s="218">
        <f>F267*D268</f>
        <v>0</v>
      </c>
    </row>
    <row r="269" spans="1:8" ht="15.5" x14ac:dyDescent="0.35">
      <c r="A269" s="144"/>
      <c r="B269" s="145"/>
      <c r="C269" s="144"/>
      <c r="D269" s="274"/>
      <c r="E269" s="146"/>
      <c r="F269" s="147"/>
      <c r="H269" s="104"/>
    </row>
    <row r="270" spans="1:8" s="104" customFormat="1" ht="15.5" x14ac:dyDescent="0.35">
      <c r="A270" s="63" t="s">
        <v>259</v>
      </c>
      <c r="B270" s="63" t="s">
        <v>260</v>
      </c>
      <c r="C270" s="67"/>
      <c r="D270" s="233"/>
      <c r="E270" s="67"/>
      <c r="F270" s="148"/>
    </row>
    <row r="271" spans="1:8" s="104" customFormat="1" ht="15.5" x14ac:dyDescent="0.35">
      <c r="A271" s="67" t="s">
        <v>261</v>
      </c>
      <c r="B271" s="67" t="s">
        <v>262</v>
      </c>
      <c r="C271" s="67"/>
      <c r="D271" s="233"/>
      <c r="E271" s="67"/>
      <c r="F271" s="148"/>
    </row>
    <row r="272" spans="1:8" s="104" customFormat="1" ht="18" x14ac:dyDescent="0.35">
      <c r="A272" s="67"/>
      <c r="B272" s="67" t="s">
        <v>263</v>
      </c>
      <c r="C272" s="67" t="s">
        <v>135</v>
      </c>
      <c r="D272" s="233">
        <f>(1+3.6)*(1+4.2)*1.2*1.05</f>
        <v>30.139199999999999</v>
      </c>
      <c r="E272" s="67"/>
      <c r="F272" s="234">
        <f>D272*E272</f>
        <v>0</v>
      </c>
    </row>
    <row r="273" spans="1:6" s="104" customFormat="1" ht="15.5" x14ac:dyDescent="0.35">
      <c r="A273" s="67" t="s">
        <v>264</v>
      </c>
      <c r="B273" s="67" t="s">
        <v>265</v>
      </c>
      <c r="C273" s="67"/>
      <c r="D273" s="233"/>
      <c r="E273" s="67"/>
      <c r="F273" s="148"/>
    </row>
    <row r="274" spans="1:6" s="104" customFormat="1" ht="18" x14ac:dyDescent="0.35">
      <c r="A274" s="67"/>
      <c r="B274" s="67" t="s">
        <v>266</v>
      </c>
      <c r="C274" s="67" t="s">
        <v>135</v>
      </c>
      <c r="D274" s="233">
        <f>(2*(3.6+4.2)+3.2+1.8)*0.4*1*1.05</f>
        <v>8.652000000000001</v>
      </c>
      <c r="E274" s="67"/>
      <c r="F274" s="234">
        <f>D274*E274</f>
        <v>0</v>
      </c>
    </row>
    <row r="275" spans="1:6" s="104" customFormat="1" ht="18" x14ac:dyDescent="0.35">
      <c r="A275" s="67"/>
      <c r="B275" s="67" t="s">
        <v>267</v>
      </c>
      <c r="C275" s="67" t="s">
        <v>135</v>
      </c>
      <c r="D275" s="233">
        <f>20.6*0.5*0.06*1.05</f>
        <v>0.64890000000000003</v>
      </c>
      <c r="E275" s="67"/>
      <c r="F275" s="234">
        <f>D275*E275</f>
        <v>0</v>
      </c>
    </row>
    <row r="276" spans="1:6" s="104" customFormat="1" ht="18" x14ac:dyDescent="0.35">
      <c r="A276" s="67"/>
      <c r="B276" s="67" t="s">
        <v>268</v>
      </c>
      <c r="C276" s="67" t="s">
        <v>135</v>
      </c>
      <c r="D276" s="233">
        <f>20.6*0.4*1*1.05</f>
        <v>8.652000000000001</v>
      </c>
      <c r="E276" s="67"/>
      <c r="F276" s="234">
        <f>D276*E276</f>
        <v>0</v>
      </c>
    </row>
    <row r="277" spans="1:6" s="104" customFormat="1" ht="18" x14ac:dyDescent="0.35">
      <c r="A277" s="67"/>
      <c r="B277" s="67" t="s">
        <v>269</v>
      </c>
      <c r="C277" s="67" t="s">
        <v>270</v>
      </c>
      <c r="D277" s="233">
        <f>20.6*0.5*1.05</f>
        <v>10.815000000000001</v>
      </c>
      <c r="E277" s="67"/>
      <c r="F277" s="234">
        <f>D277*E277</f>
        <v>0</v>
      </c>
    </row>
    <row r="278" spans="1:6" s="104" customFormat="1" ht="15.5" x14ac:dyDescent="0.35">
      <c r="A278" s="67"/>
      <c r="B278" s="67" t="s">
        <v>271</v>
      </c>
      <c r="C278" s="67" t="s">
        <v>26</v>
      </c>
      <c r="D278" s="233">
        <f>20.6*0.2*1.05</f>
        <v>4.3260000000000005</v>
      </c>
      <c r="E278" s="67"/>
      <c r="F278" s="234">
        <f>D278*E278</f>
        <v>0</v>
      </c>
    </row>
    <row r="279" spans="1:6" s="104" customFormat="1" ht="15.5" x14ac:dyDescent="0.35">
      <c r="A279" s="67" t="s">
        <v>272</v>
      </c>
      <c r="B279" s="67" t="s">
        <v>273</v>
      </c>
      <c r="C279" s="67"/>
      <c r="D279" s="233"/>
      <c r="E279" s="67"/>
      <c r="F279" s="148"/>
    </row>
    <row r="280" spans="1:6" s="104" customFormat="1" ht="18" x14ac:dyDescent="0.35">
      <c r="A280" s="67"/>
      <c r="B280" s="67" t="s">
        <v>274</v>
      </c>
      <c r="C280" s="67" t="s">
        <v>135</v>
      </c>
      <c r="D280" s="233">
        <f>0.2*(3.6*2+1.8*3)*2.8-(+D283+D293*0.2*0.9*2.1+D294*2.1*0.9+D295*0.2*1.2*1.2)*1.05</f>
        <v>3.5009100000000006</v>
      </c>
      <c r="E280" s="67"/>
      <c r="F280" s="234">
        <f>D280*E280</f>
        <v>0</v>
      </c>
    </row>
    <row r="281" spans="1:6" s="104" customFormat="1" ht="18" x14ac:dyDescent="0.35">
      <c r="A281" s="67"/>
      <c r="B281" s="67" t="s">
        <v>275</v>
      </c>
      <c r="C281" s="67" t="s">
        <v>270</v>
      </c>
      <c r="D281" s="233">
        <f>(0.2*0.2)*8*1.05</f>
        <v>0.33600000000000008</v>
      </c>
      <c r="E281" s="67"/>
      <c r="F281" s="234">
        <f>D281*E281</f>
        <v>0</v>
      </c>
    </row>
    <row r="282" spans="1:6" s="104" customFormat="1" ht="15.5" x14ac:dyDescent="0.35">
      <c r="A282" s="67" t="s">
        <v>276</v>
      </c>
      <c r="B282" s="67" t="s">
        <v>277</v>
      </c>
      <c r="C282" s="67"/>
      <c r="D282" s="233"/>
      <c r="E282" s="67"/>
      <c r="F282" s="148"/>
    </row>
    <row r="283" spans="1:6" s="104" customFormat="1" ht="18" x14ac:dyDescent="0.35">
      <c r="A283" s="67"/>
      <c r="B283" s="67" t="s">
        <v>278</v>
      </c>
      <c r="C283" s="67" t="s">
        <v>135</v>
      </c>
      <c r="D283" s="233">
        <f>(3.6*2+1.9*3)*0.2*0.2*1.05</f>
        <v>0.54180000000000006</v>
      </c>
      <c r="E283" s="67"/>
      <c r="F283" s="234">
        <f>D283*E283</f>
        <v>0</v>
      </c>
    </row>
    <row r="284" spans="1:6" s="104" customFormat="1" ht="15.5" x14ac:dyDescent="0.35">
      <c r="A284" s="67" t="s">
        <v>279</v>
      </c>
      <c r="B284" s="67" t="s">
        <v>280</v>
      </c>
      <c r="C284" s="67"/>
      <c r="D284" s="233"/>
      <c r="E284" s="67"/>
      <c r="F284" s="148"/>
    </row>
    <row r="285" spans="1:6" s="104" customFormat="1" ht="15.5" x14ac:dyDescent="0.35">
      <c r="A285" s="67"/>
      <c r="B285" s="67" t="s">
        <v>281</v>
      </c>
      <c r="C285" s="67" t="s">
        <v>26</v>
      </c>
      <c r="D285" s="233">
        <v>18</v>
      </c>
      <c r="E285" s="67"/>
      <c r="F285" s="234">
        <f>D285*E285</f>
        <v>0</v>
      </c>
    </row>
    <row r="286" spans="1:6" s="104" customFormat="1" ht="15.5" x14ac:dyDescent="0.35">
      <c r="A286" s="67"/>
      <c r="B286" s="67" t="s">
        <v>282</v>
      </c>
      <c r="C286" s="67" t="s">
        <v>26</v>
      </c>
      <c r="D286" s="233">
        <v>27.599999999999998</v>
      </c>
      <c r="E286" s="67"/>
      <c r="F286" s="234">
        <f>D286*E286</f>
        <v>0</v>
      </c>
    </row>
    <row r="287" spans="1:6" s="104" customFormat="1" ht="15.5" x14ac:dyDescent="0.35">
      <c r="A287" s="67"/>
      <c r="B287" s="67" t="s">
        <v>283</v>
      </c>
      <c r="C287" s="67" t="s">
        <v>26</v>
      </c>
      <c r="D287" s="233">
        <v>240</v>
      </c>
      <c r="E287" s="67"/>
      <c r="F287" s="234">
        <f>D287*E287</f>
        <v>0</v>
      </c>
    </row>
    <row r="288" spans="1:6" s="104" customFormat="1" ht="15.5" x14ac:dyDescent="0.35">
      <c r="A288" s="67"/>
      <c r="B288" s="67" t="s">
        <v>284</v>
      </c>
      <c r="C288" s="67" t="s">
        <v>26</v>
      </c>
      <c r="D288" s="233">
        <v>25.799999999999997</v>
      </c>
      <c r="E288" s="67"/>
      <c r="F288" s="234">
        <f>D288*E288</f>
        <v>0</v>
      </c>
    </row>
    <row r="289" spans="1:6" s="104" customFormat="1" ht="15.5" x14ac:dyDescent="0.35">
      <c r="A289" s="67"/>
      <c r="B289" s="67" t="s">
        <v>285</v>
      </c>
      <c r="C289" s="67" t="s">
        <v>26</v>
      </c>
      <c r="D289" s="233">
        <v>9</v>
      </c>
      <c r="E289" s="67"/>
      <c r="F289" s="234">
        <f>D289*E289</f>
        <v>0</v>
      </c>
    </row>
    <row r="290" spans="1:6" s="104" customFormat="1" ht="15.5" x14ac:dyDescent="0.35">
      <c r="A290" s="67" t="s">
        <v>286</v>
      </c>
      <c r="B290" s="67" t="s">
        <v>287</v>
      </c>
      <c r="C290" s="67"/>
      <c r="D290" s="233"/>
      <c r="E290" s="67"/>
      <c r="F290" s="148"/>
    </row>
    <row r="291" spans="1:6" s="104" customFormat="1" ht="18" x14ac:dyDescent="0.35">
      <c r="A291" s="67"/>
      <c r="B291" s="67" t="s">
        <v>288</v>
      </c>
      <c r="C291" s="67" t="s">
        <v>270</v>
      </c>
      <c r="D291" s="233">
        <f>6*4.6*1.05</f>
        <v>28.98</v>
      </c>
      <c r="E291" s="67"/>
      <c r="F291" s="234">
        <f>D291*E291</f>
        <v>0</v>
      </c>
    </row>
    <row r="292" spans="1:6" s="104" customFormat="1" ht="15.5" x14ac:dyDescent="0.35">
      <c r="A292" s="67" t="s">
        <v>289</v>
      </c>
      <c r="B292" s="67" t="s">
        <v>290</v>
      </c>
      <c r="C292" s="67"/>
      <c r="D292" s="233"/>
      <c r="E292" s="67"/>
      <c r="F292" s="148"/>
    </row>
    <row r="293" spans="1:6" s="104" customFormat="1" ht="15.5" x14ac:dyDescent="0.35">
      <c r="A293" s="67"/>
      <c r="B293" s="67" t="s">
        <v>291</v>
      </c>
      <c r="C293" s="67" t="s">
        <v>74</v>
      </c>
      <c r="D293" s="233">
        <v>1</v>
      </c>
      <c r="E293" s="67"/>
      <c r="F293" s="234">
        <f>D293*E293</f>
        <v>0</v>
      </c>
    </row>
    <row r="294" spans="1:6" s="104" customFormat="1" ht="15.5" x14ac:dyDescent="0.35">
      <c r="A294" s="67"/>
      <c r="B294" s="67" t="s">
        <v>292</v>
      </c>
      <c r="C294" s="67" t="s">
        <v>74</v>
      </c>
      <c r="D294" s="233">
        <v>1</v>
      </c>
      <c r="E294" s="67"/>
      <c r="F294" s="234">
        <f>D294*E294</f>
        <v>0</v>
      </c>
    </row>
    <row r="295" spans="1:6" s="104" customFormat="1" ht="15.5" x14ac:dyDescent="0.35">
      <c r="A295" s="67"/>
      <c r="B295" s="67" t="s">
        <v>293</v>
      </c>
      <c r="C295" s="67" t="s">
        <v>74</v>
      </c>
      <c r="D295" s="233">
        <v>2</v>
      </c>
      <c r="E295" s="67"/>
      <c r="F295" s="234">
        <f>D295*E295</f>
        <v>0</v>
      </c>
    </row>
    <row r="296" spans="1:6" s="104" customFormat="1" ht="15.5" x14ac:dyDescent="0.35">
      <c r="A296" s="67" t="s">
        <v>294</v>
      </c>
      <c r="B296" s="67" t="s">
        <v>295</v>
      </c>
      <c r="C296" s="67"/>
      <c r="D296" s="233"/>
      <c r="E296" s="67"/>
      <c r="F296" s="148"/>
    </row>
    <row r="297" spans="1:6" s="104" customFormat="1" ht="18" x14ac:dyDescent="0.35">
      <c r="A297" s="67"/>
      <c r="B297" s="67" t="s">
        <v>296</v>
      </c>
      <c r="C297" s="67" t="s">
        <v>270</v>
      </c>
      <c r="D297" s="233">
        <f>((4.2*3.6)-D278*0.2)*1.05</f>
        <v>14.967540000000001</v>
      </c>
      <c r="E297" s="67"/>
      <c r="F297" s="234">
        <f>D297*E297</f>
        <v>0</v>
      </c>
    </row>
    <row r="298" spans="1:6" s="104" customFormat="1" ht="18" x14ac:dyDescent="0.35">
      <c r="A298" s="67"/>
      <c r="B298" s="67" t="s">
        <v>297</v>
      </c>
      <c r="C298" s="67" t="s">
        <v>270</v>
      </c>
      <c r="D298" s="233">
        <f>(4.2+3.6)*2*0.8*1.05</f>
        <v>13.104000000000003</v>
      </c>
      <c r="E298" s="67"/>
      <c r="F298" s="234">
        <f>D298*E298</f>
        <v>0</v>
      </c>
    </row>
    <row r="299" spans="1:6" s="104" customFormat="1" ht="15.5" x14ac:dyDescent="0.35">
      <c r="A299" s="67" t="s">
        <v>298</v>
      </c>
      <c r="B299" s="67" t="s">
        <v>299</v>
      </c>
      <c r="C299" s="67"/>
      <c r="D299" s="233"/>
      <c r="E299" s="67"/>
      <c r="F299" s="148"/>
    </row>
    <row r="300" spans="1:6" s="104" customFormat="1" ht="18" x14ac:dyDescent="0.35">
      <c r="A300" s="67"/>
      <c r="B300" s="67" t="s">
        <v>300</v>
      </c>
      <c r="C300" s="67" t="s">
        <v>270</v>
      </c>
      <c r="D300" s="233">
        <f>(1.8+1.5)*2*2.8*2*1.05</f>
        <v>38.807999999999993</v>
      </c>
      <c r="E300" s="67"/>
      <c r="F300" s="234">
        <f>D300*E300</f>
        <v>0</v>
      </c>
    </row>
    <row r="301" spans="1:6" s="104" customFormat="1" ht="15.5" x14ac:dyDescent="0.35">
      <c r="A301" s="67"/>
      <c r="B301" s="67" t="s">
        <v>301</v>
      </c>
      <c r="C301" s="67" t="s">
        <v>26</v>
      </c>
      <c r="D301" s="233">
        <v>8.652000000000001</v>
      </c>
      <c r="E301" s="67"/>
      <c r="F301" s="234">
        <f>D301*E301</f>
        <v>0</v>
      </c>
    </row>
    <row r="302" spans="1:6" s="104" customFormat="1" ht="18" x14ac:dyDescent="0.35">
      <c r="A302" s="67" t="s">
        <v>302</v>
      </c>
      <c r="B302" s="67" t="s">
        <v>303</v>
      </c>
      <c r="C302" s="67" t="s">
        <v>270</v>
      </c>
      <c r="D302" s="233">
        <f>3.2*2*1.05</f>
        <v>6.7200000000000006</v>
      </c>
      <c r="E302" s="67"/>
      <c r="F302" s="234">
        <f>D302*E302</f>
        <v>0</v>
      </c>
    </row>
    <row r="303" spans="1:6" s="104" customFormat="1" ht="15.5" x14ac:dyDescent="0.35">
      <c r="A303" s="67" t="s">
        <v>304</v>
      </c>
      <c r="B303" s="67" t="s">
        <v>305</v>
      </c>
      <c r="C303" s="67" t="s">
        <v>26</v>
      </c>
      <c r="D303" s="233">
        <v>4.2</v>
      </c>
      <c r="E303" s="67"/>
      <c r="F303" s="234">
        <f>D303*E303</f>
        <v>0</v>
      </c>
    </row>
    <row r="304" spans="1:6" s="104" customFormat="1" ht="15.5" x14ac:dyDescent="0.35">
      <c r="A304" s="67" t="s">
        <v>306</v>
      </c>
      <c r="B304" s="67" t="s">
        <v>307</v>
      </c>
      <c r="C304" s="67"/>
      <c r="D304" s="233"/>
      <c r="E304" s="67"/>
      <c r="F304" s="148"/>
    </row>
    <row r="305" spans="1:8" s="104" customFormat="1" ht="18" x14ac:dyDescent="0.35">
      <c r="A305" s="67"/>
      <c r="B305" s="67" t="s">
        <v>308</v>
      </c>
      <c r="C305" s="67" t="s">
        <v>270</v>
      </c>
      <c r="D305" s="233">
        <f>D300</f>
        <v>38.807999999999993</v>
      </c>
      <c r="E305" s="67"/>
      <c r="F305" s="234">
        <f t="shared" ref="F305:F310" si="14">D305*E305</f>
        <v>0</v>
      </c>
    </row>
    <row r="306" spans="1:8" s="104" customFormat="1" ht="18" x14ac:dyDescent="0.35">
      <c r="A306" s="67"/>
      <c r="B306" s="67" t="s">
        <v>309</v>
      </c>
      <c r="C306" s="67" t="s">
        <v>270</v>
      </c>
      <c r="D306" s="233">
        <f>D288*2*0.2+(D293)*(2.1*0.9)+D295*(1.2*1)</f>
        <v>14.610000000000001</v>
      </c>
      <c r="E306" s="67"/>
      <c r="F306" s="234">
        <f t="shared" si="14"/>
        <v>0</v>
      </c>
    </row>
    <row r="307" spans="1:8" s="104" customFormat="1" ht="18" x14ac:dyDescent="0.35">
      <c r="A307" s="67"/>
      <c r="B307" s="67" t="s">
        <v>310</v>
      </c>
      <c r="C307" s="67" t="s">
        <v>270</v>
      </c>
      <c r="D307" s="233">
        <f>D294*(2.1*0.9)+D303*0.2</f>
        <v>2.7300000000000004</v>
      </c>
      <c r="E307" s="67"/>
      <c r="F307" s="234">
        <f t="shared" si="14"/>
        <v>0</v>
      </c>
    </row>
    <row r="308" spans="1:8" s="104" customFormat="1" ht="18" x14ac:dyDescent="0.35">
      <c r="A308" s="67"/>
      <c r="B308" s="67" t="s">
        <v>311</v>
      </c>
      <c r="C308" s="67" t="s">
        <v>270</v>
      </c>
      <c r="D308" s="233">
        <f>D302</f>
        <v>6.7200000000000006</v>
      </c>
      <c r="E308" s="67"/>
      <c r="F308" s="234">
        <f t="shared" si="14"/>
        <v>0</v>
      </c>
    </row>
    <row r="309" spans="1:8" s="104" customFormat="1" ht="49" x14ac:dyDescent="0.35">
      <c r="A309" s="67" t="s">
        <v>312</v>
      </c>
      <c r="B309" s="67" t="s">
        <v>493</v>
      </c>
      <c r="C309" s="67" t="s">
        <v>13</v>
      </c>
      <c r="D309" s="233">
        <v>1</v>
      </c>
      <c r="E309" s="67"/>
      <c r="F309" s="234">
        <f t="shared" si="14"/>
        <v>0</v>
      </c>
    </row>
    <row r="310" spans="1:8" s="104" customFormat="1" ht="37.5" x14ac:dyDescent="0.35">
      <c r="A310" s="67" t="s">
        <v>313</v>
      </c>
      <c r="B310" s="67" t="s">
        <v>314</v>
      </c>
      <c r="C310" s="67" t="s">
        <v>13</v>
      </c>
      <c r="D310" s="233">
        <v>1</v>
      </c>
      <c r="E310" s="67"/>
      <c r="F310" s="234">
        <f t="shared" si="14"/>
        <v>0</v>
      </c>
    </row>
    <row r="311" spans="1:8" s="104" customFormat="1" ht="15.5" x14ac:dyDescent="0.35">
      <c r="A311" s="67"/>
      <c r="B311" s="63" t="s">
        <v>315</v>
      </c>
      <c r="C311" s="63"/>
      <c r="D311" s="269"/>
      <c r="E311" s="63"/>
      <c r="F311" s="235">
        <f>SUM(F272:F310)</f>
        <v>0</v>
      </c>
    </row>
    <row r="312" spans="1:8" s="104" customFormat="1" ht="15.5" x14ac:dyDescent="0.35">
      <c r="A312" s="67"/>
      <c r="B312" s="63" t="s">
        <v>316</v>
      </c>
      <c r="C312" s="63"/>
      <c r="D312" s="269">
        <v>1</v>
      </c>
      <c r="E312" s="63"/>
      <c r="F312" s="235">
        <f>F311*D312</f>
        <v>0</v>
      </c>
    </row>
    <row r="313" spans="1:8" s="104" customFormat="1" ht="15.5" x14ac:dyDescent="0.35">
      <c r="A313" s="2"/>
      <c r="B313" s="102" t="s">
        <v>317</v>
      </c>
      <c r="C313" s="102"/>
      <c r="D313" s="264"/>
      <c r="E313" s="102"/>
      <c r="F313" s="227">
        <f>+F312+F268+F252</f>
        <v>0</v>
      </c>
      <c r="H313" s="9"/>
    </row>
    <row r="314" spans="1:8" ht="13" x14ac:dyDescent="0.35">
      <c r="A314" s="48"/>
      <c r="B314" s="49" t="s">
        <v>318</v>
      </c>
      <c r="C314" s="50"/>
      <c r="D314" s="253"/>
      <c r="E314" s="51"/>
      <c r="F314" s="218">
        <f>SUM(F313,F234,F156)</f>
        <v>0</v>
      </c>
    </row>
    <row r="315" spans="1:8" ht="15.5" x14ac:dyDescent="0.35">
      <c r="A315" s="66"/>
      <c r="B315" s="67"/>
      <c r="C315" s="149"/>
      <c r="D315" s="76"/>
      <c r="E315" s="64"/>
      <c r="F315" s="73"/>
      <c r="H315" s="150"/>
    </row>
    <row r="316" spans="1:8" s="150" customFormat="1" ht="15.5" x14ac:dyDescent="0.35">
      <c r="A316" s="151">
        <v>4</v>
      </c>
      <c r="B316" s="286" t="s">
        <v>319</v>
      </c>
      <c r="C316" s="286"/>
      <c r="D316" s="286"/>
      <c r="E316" s="286"/>
      <c r="F316" s="286"/>
    </row>
    <row r="317" spans="1:8" s="150" customFormat="1" ht="15.5" x14ac:dyDescent="0.35">
      <c r="A317" s="152"/>
      <c r="B317" s="153"/>
      <c r="C317" s="154"/>
      <c r="D317" s="155"/>
      <c r="E317" s="156"/>
      <c r="F317" s="157"/>
      <c r="H317" s="101"/>
    </row>
    <row r="318" spans="1:8" s="101" customFormat="1" ht="31" x14ac:dyDescent="0.35">
      <c r="A318" s="158">
        <v>4.0999999999999996</v>
      </c>
      <c r="B318" s="153" t="s">
        <v>320</v>
      </c>
      <c r="C318" s="159"/>
      <c r="D318" s="160"/>
      <c r="E318" s="161"/>
      <c r="F318" s="157"/>
    </row>
    <row r="319" spans="1:8" s="101" customFormat="1" ht="31" x14ac:dyDescent="0.35">
      <c r="A319" s="162" t="s">
        <v>321</v>
      </c>
      <c r="B319" s="163" t="s">
        <v>322</v>
      </c>
      <c r="C319" s="164" t="s">
        <v>126</v>
      </c>
      <c r="D319" s="275">
        <v>333.33333333333331</v>
      </c>
      <c r="E319" s="165"/>
      <c r="F319" s="236">
        <f t="shared" ref="F319:F331" si="15">+D319*E319</f>
        <v>0</v>
      </c>
    </row>
    <row r="320" spans="1:8" s="101" customFormat="1" ht="31" x14ac:dyDescent="0.35">
      <c r="A320" s="162" t="s">
        <v>323</v>
      </c>
      <c r="B320" s="163" t="s">
        <v>324</v>
      </c>
      <c r="C320" s="164" t="s">
        <v>119</v>
      </c>
      <c r="D320" s="275">
        <v>151.53333333333333</v>
      </c>
      <c r="E320" s="165"/>
      <c r="F320" s="236">
        <f t="shared" si="15"/>
        <v>0</v>
      </c>
    </row>
    <row r="321" spans="1:8" s="101" customFormat="1" ht="18.5" x14ac:dyDescent="0.35">
      <c r="A321" s="162" t="s">
        <v>325</v>
      </c>
      <c r="B321" s="163" t="s">
        <v>326</v>
      </c>
      <c r="C321" s="164" t="s">
        <v>119</v>
      </c>
      <c r="D321" s="275">
        <v>80.510000000000005</v>
      </c>
      <c r="E321" s="165"/>
      <c r="F321" s="236">
        <f t="shared" si="15"/>
        <v>0</v>
      </c>
    </row>
    <row r="322" spans="1:8" s="101" customFormat="1" ht="62" x14ac:dyDescent="0.35">
      <c r="A322" s="162" t="s">
        <v>327</v>
      </c>
      <c r="B322" s="163" t="s">
        <v>328</v>
      </c>
      <c r="C322" s="164" t="s">
        <v>13</v>
      </c>
      <c r="D322" s="275">
        <v>1</v>
      </c>
      <c r="E322" s="165"/>
      <c r="F322" s="236">
        <f t="shared" si="15"/>
        <v>0</v>
      </c>
    </row>
    <row r="323" spans="1:8" s="101" customFormat="1" ht="31" x14ac:dyDescent="0.35">
      <c r="A323" s="162" t="s">
        <v>329</v>
      </c>
      <c r="B323" s="163" t="s">
        <v>330</v>
      </c>
      <c r="C323" s="164" t="s">
        <v>119</v>
      </c>
      <c r="D323" s="275">
        <v>8.3333333333333339</v>
      </c>
      <c r="E323" s="165"/>
      <c r="F323" s="236">
        <f t="shared" si="15"/>
        <v>0</v>
      </c>
    </row>
    <row r="324" spans="1:8" s="101" customFormat="1" ht="31" x14ac:dyDescent="0.35">
      <c r="A324" s="162" t="s">
        <v>331</v>
      </c>
      <c r="B324" s="163" t="s">
        <v>332</v>
      </c>
      <c r="C324" s="164" t="s">
        <v>126</v>
      </c>
      <c r="D324" s="275">
        <v>21.333333333333332</v>
      </c>
      <c r="E324" s="165"/>
      <c r="F324" s="236">
        <f t="shared" si="15"/>
        <v>0</v>
      </c>
    </row>
    <row r="325" spans="1:8" s="101" customFormat="1" ht="18.5" x14ac:dyDescent="0.35">
      <c r="A325" s="162" t="s">
        <v>333</v>
      </c>
      <c r="B325" s="163" t="s">
        <v>334</v>
      </c>
      <c r="C325" s="164" t="s">
        <v>119</v>
      </c>
      <c r="D325" s="275">
        <v>3.8333333333333335</v>
      </c>
      <c r="E325" s="165"/>
      <c r="F325" s="236">
        <f t="shared" si="15"/>
        <v>0</v>
      </c>
    </row>
    <row r="326" spans="1:8" s="101" customFormat="1" ht="31" x14ac:dyDescent="0.35">
      <c r="A326" s="162" t="s">
        <v>335</v>
      </c>
      <c r="B326" s="163" t="s">
        <v>336</v>
      </c>
      <c r="C326" s="164" t="s">
        <v>119</v>
      </c>
      <c r="D326" s="275">
        <v>3.6233333333333331</v>
      </c>
      <c r="E326" s="165"/>
      <c r="F326" s="236">
        <f t="shared" si="15"/>
        <v>0</v>
      </c>
    </row>
    <row r="327" spans="1:8" s="101" customFormat="1" ht="46.5" x14ac:dyDescent="0.35">
      <c r="A327" s="162" t="s">
        <v>337</v>
      </c>
      <c r="B327" s="163" t="s">
        <v>338</v>
      </c>
      <c r="C327" s="164" t="s">
        <v>119</v>
      </c>
      <c r="D327" s="275">
        <v>232.04333333333332</v>
      </c>
      <c r="E327" s="165"/>
      <c r="F327" s="236">
        <f t="shared" si="15"/>
        <v>0</v>
      </c>
    </row>
    <row r="328" spans="1:8" s="101" customFormat="1" ht="31" x14ac:dyDescent="0.35">
      <c r="A328" s="162" t="s">
        <v>339</v>
      </c>
      <c r="B328" s="163" t="s">
        <v>340</v>
      </c>
      <c r="C328" s="164" t="s">
        <v>119</v>
      </c>
      <c r="D328" s="275">
        <v>16</v>
      </c>
      <c r="E328" s="165"/>
      <c r="F328" s="236">
        <f t="shared" si="15"/>
        <v>0</v>
      </c>
    </row>
    <row r="329" spans="1:8" s="101" customFormat="1" ht="31" x14ac:dyDescent="0.35">
      <c r="A329" s="162" t="s">
        <v>341</v>
      </c>
      <c r="B329" s="163" t="s">
        <v>342</v>
      </c>
      <c r="C329" s="164" t="s">
        <v>119</v>
      </c>
      <c r="D329" s="275">
        <v>3</v>
      </c>
      <c r="E329" s="165"/>
      <c r="F329" s="236">
        <f t="shared" si="15"/>
        <v>0</v>
      </c>
    </row>
    <row r="330" spans="1:8" s="101" customFormat="1" ht="31" x14ac:dyDescent="0.35">
      <c r="A330" s="162" t="s">
        <v>343</v>
      </c>
      <c r="B330" s="163" t="s">
        <v>344</v>
      </c>
      <c r="C330" s="164" t="s">
        <v>26</v>
      </c>
      <c r="D330" s="275">
        <v>32.666666666666664</v>
      </c>
      <c r="E330" s="165"/>
      <c r="F330" s="236">
        <f t="shared" si="15"/>
        <v>0</v>
      </c>
    </row>
    <row r="331" spans="1:8" s="101" customFormat="1" ht="31" x14ac:dyDescent="0.35">
      <c r="A331" s="162" t="s">
        <v>345</v>
      </c>
      <c r="B331" s="163" t="s">
        <v>346</v>
      </c>
      <c r="C331" s="164" t="s">
        <v>126</v>
      </c>
      <c r="D331" s="275">
        <v>233.33333333333334</v>
      </c>
      <c r="E331" s="165"/>
      <c r="F331" s="236">
        <f t="shared" si="15"/>
        <v>0</v>
      </c>
    </row>
    <row r="332" spans="1:8" s="101" customFormat="1" ht="15.5" x14ac:dyDescent="0.35">
      <c r="A332" s="166"/>
      <c r="B332" s="167" t="s">
        <v>347</v>
      </c>
      <c r="C332" s="168"/>
      <c r="D332" s="276"/>
      <c r="E332" s="169"/>
      <c r="F332" s="237">
        <f>SUM(F319:F331)*3</f>
        <v>0</v>
      </c>
      <c r="H332" s="150"/>
    </row>
    <row r="333" spans="1:8" s="150" customFormat="1" ht="15.5" x14ac:dyDescent="0.35">
      <c r="A333" s="170"/>
      <c r="B333" s="171" t="s">
        <v>348</v>
      </c>
      <c r="C333" s="172"/>
      <c r="D333" s="277">
        <v>2</v>
      </c>
      <c r="E333" s="173"/>
      <c r="F333" s="238">
        <f>F332*D333</f>
        <v>0</v>
      </c>
    </row>
    <row r="334" spans="1:8" s="150" customFormat="1" ht="15.5" x14ac:dyDescent="0.35">
      <c r="A334" s="152"/>
      <c r="B334" s="153"/>
      <c r="C334" s="154"/>
      <c r="D334" s="278"/>
      <c r="E334" s="156"/>
      <c r="F334" s="157"/>
      <c r="H334" s="174"/>
    </row>
    <row r="335" spans="1:8" s="174" customFormat="1" ht="31" x14ac:dyDescent="0.35">
      <c r="A335" s="175">
        <v>4.2</v>
      </c>
      <c r="B335" s="176" t="s">
        <v>349</v>
      </c>
      <c r="C335" s="177"/>
      <c r="D335" s="279"/>
      <c r="E335" s="178"/>
      <c r="F335" s="179"/>
    </row>
    <row r="336" spans="1:8" s="174" customFormat="1" ht="26" x14ac:dyDescent="0.35">
      <c r="A336" s="162" t="s">
        <v>350</v>
      </c>
      <c r="B336" s="180" t="s">
        <v>351</v>
      </c>
      <c r="C336" s="181" t="s">
        <v>352</v>
      </c>
      <c r="D336" s="280">
        <v>20</v>
      </c>
      <c r="E336" s="165"/>
      <c r="F336" s="236">
        <f t="shared" ref="F336:F344" si="16">+D336*E336</f>
        <v>0</v>
      </c>
      <c r="G336" s="182"/>
    </row>
    <row r="337" spans="1:8" s="174" customFormat="1" ht="26" x14ac:dyDescent="0.35">
      <c r="A337" s="162" t="s">
        <v>353</v>
      </c>
      <c r="B337" s="180" t="s">
        <v>354</v>
      </c>
      <c r="C337" s="181" t="s">
        <v>355</v>
      </c>
      <c r="D337" s="280">
        <v>24</v>
      </c>
      <c r="E337" s="165"/>
      <c r="F337" s="236">
        <f t="shared" si="16"/>
        <v>0</v>
      </c>
      <c r="G337" s="182"/>
    </row>
    <row r="338" spans="1:8" s="174" customFormat="1" ht="16" x14ac:dyDescent="0.35">
      <c r="A338" s="162" t="s">
        <v>356</v>
      </c>
      <c r="B338" s="180" t="s">
        <v>357</v>
      </c>
      <c r="C338" s="181" t="s">
        <v>355</v>
      </c>
      <c r="D338" s="280">
        <v>25.92</v>
      </c>
      <c r="E338" s="165"/>
      <c r="F338" s="236">
        <f t="shared" si="16"/>
        <v>0</v>
      </c>
      <c r="G338" s="182"/>
    </row>
    <row r="339" spans="1:8" s="174" customFormat="1" ht="26" x14ac:dyDescent="0.35">
      <c r="A339" s="162" t="s">
        <v>358</v>
      </c>
      <c r="B339" s="180" t="s">
        <v>359</v>
      </c>
      <c r="C339" s="181" t="s">
        <v>355</v>
      </c>
      <c r="D339" s="280">
        <v>24.14</v>
      </c>
      <c r="E339" s="165"/>
      <c r="F339" s="236">
        <f t="shared" si="16"/>
        <v>0</v>
      </c>
      <c r="G339" s="182"/>
    </row>
    <row r="340" spans="1:8" s="174" customFormat="1" ht="26" x14ac:dyDescent="0.35">
      <c r="A340" s="162" t="s">
        <v>360</v>
      </c>
      <c r="B340" s="183" t="s">
        <v>361</v>
      </c>
      <c r="C340" s="181" t="s">
        <v>355</v>
      </c>
      <c r="D340" s="280">
        <v>24.14</v>
      </c>
      <c r="E340" s="165"/>
      <c r="F340" s="236">
        <f t="shared" si="16"/>
        <v>0</v>
      </c>
      <c r="G340" s="182"/>
    </row>
    <row r="341" spans="1:8" s="174" customFormat="1" ht="26" x14ac:dyDescent="0.35">
      <c r="A341" s="162" t="s">
        <v>362</v>
      </c>
      <c r="B341" s="180" t="s">
        <v>363</v>
      </c>
      <c r="C341" s="181" t="s">
        <v>355</v>
      </c>
      <c r="D341" s="280">
        <v>4.9000000000000004</v>
      </c>
      <c r="E341" s="165"/>
      <c r="F341" s="236">
        <f t="shared" si="16"/>
        <v>0</v>
      </c>
      <c r="G341" s="182"/>
    </row>
    <row r="342" spans="1:8" s="174" customFormat="1" ht="26" x14ac:dyDescent="0.35">
      <c r="A342" s="162" t="s">
        <v>364</v>
      </c>
      <c r="B342" s="180" t="s">
        <v>476</v>
      </c>
      <c r="C342" s="181" t="s">
        <v>355</v>
      </c>
      <c r="D342" s="280">
        <v>21.64</v>
      </c>
      <c r="E342" s="165"/>
      <c r="F342" s="236">
        <f t="shared" si="16"/>
        <v>0</v>
      </c>
      <c r="G342" s="182"/>
    </row>
    <row r="343" spans="1:8" s="174" customFormat="1" ht="15.5" x14ac:dyDescent="0.35">
      <c r="A343" s="162" t="s">
        <v>365</v>
      </c>
      <c r="B343" s="180" t="s">
        <v>366</v>
      </c>
      <c r="C343" s="181" t="s">
        <v>74</v>
      </c>
      <c r="D343" s="280">
        <v>2</v>
      </c>
      <c r="E343" s="165"/>
      <c r="F343" s="236">
        <f t="shared" si="16"/>
        <v>0</v>
      </c>
      <c r="G343" s="182"/>
    </row>
    <row r="344" spans="1:8" s="174" customFormat="1" ht="15.5" x14ac:dyDescent="0.35">
      <c r="A344" s="162" t="s">
        <v>367</v>
      </c>
      <c r="B344" s="180" t="s">
        <v>368</v>
      </c>
      <c r="C344" s="181" t="s">
        <v>369</v>
      </c>
      <c r="D344" s="280">
        <v>2</v>
      </c>
      <c r="E344" s="165"/>
      <c r="F344" s="236">
        <f t="shared" si="16"/>
        <v>0</v>
      </c>
      <c r="G344" s="182"/>
    </row>
    <row r="345" spans="1:8" s="174" customFormat="1" ht="15.5" x14ac:dyDescent="0.35">
      <c r="A345" s="166"/>
      <c r="B345" s="167" t="s">
        <v>370</v>
      </c>
      <c r="C345" s="168"/>
      <c r="D345" s="276"/>
      <c r="E345" s="169"/>
      <c r="F345" s="237">
        <f>SUM(F336:F344)</f>
        <v>0</v>
      </c>
      <c r="G345" s="182"/>
      <c r="H345" s="150"/>
    </row>
    <row r="346" spans="1:8" s="150" customFormat="1" ht="15.5" x14ac:dyDescent="0.35">
      <c r="A346" s="170"/>
      <c r="B346" s="171" t="s">
        <v>371</v>
      </c>
      <c r="C346" s="172"/>
      <c r="D346" s="277">
        <v>2</v>
      </c>
      <c r="E346" s="173"/>
      <c r="F346" s="238">
        <f>F345*D346</f>
        <v>0</v>
      </c>
    </row>
    <row r="347" spans="1:8" s="150" customFormat="1" ht="15.5" x14ac:dyDescent="0.35">
      <c r="A347" s="152"/>
      <c r="B347" s="153"/>
      <c r="C347" s="154"/>
      <c r="D347" s="278"/>
      <c r="E347" s="156"/>
      <c r="F347" s="157"/>
      <c r="H347" s="174"/>
    </row>
    <row r="348" spans="1:8" s="174" customFormat="1" ht="48.75" customHeight="1" x14ac:dyDescent="0.35">
      <c r="A348" s="175">
        <v>4.3</v>
      </c>
      <c r="B348" s="176" t="s">
        <v>459</v>
      </c>
      <c r="C348" s="177"/>
      <c r="D348" s="279"/>
      <c r="E348" s="178"/>
      <c r="F348" s="179"/>
      <c r="G348" s="182"/>
    </row>
    <row r="349" spans="1:8" s="174" customFormat="1" ht="26" x14ac:dyDescent="0.35">
      <c r="A349" s="162" t="s">
        <v>372</v>
      </c>
      <c r="B349" s="180" t="s">
        <v>59</v>
      </c>
      <c r="C349" s="181" t="s">
        <v>352</v>
      </c>
      <c r="D349" s="281">
        <v>32.4</v>
      </c>
      <c r="E349" s="165"/>
      <c r="F349" s="236">
        <f t="shared" ref="F349:F355" si="17">+D349*E349</f>
        <v>0</v>
      </c>
      <c r="G349" s="182"/>
    </row>
    <row r="350" spans="1:8" s="174" customFormat="1" ht="26" x14ac:dyDescent="0.35">
      <c r="A350" s="162" t="s">
        <v>373</v>
      </c>
      <c r="B350" s="180" t="s">
        <v>354</v>
      </c>
      <c r="C350" s="181" t="s">
        <v>352</v>
      </c>
      <c r="D350" s="281">
        <v>41.97</v>
      </c>
      <c r="E350" s="165"/>
      <c r="F350" s="236">
        <f t="shared" si="17"/>
        <v>0</v>
      </c>
      <c r="G350" s="182"/>
    </row>
    <row r="351" spans="1:8" s="174" customFormat="1" ht="15.5" x14ac:dyDescent="0.35">
      <c r="A351" s="162" t="s">
        <v>374</v>
      </c>
      <c r="B351" s="180" t="s">
        <v>357</v>
      </c>
      <c r="C351" s="181" t="s">
        <v>26</v>
      </c>
      <c r="D351" s="281">
        <v>24.33</v>
      </c>
      <c r="E351" s="165"/>
      <c r="F351" s="236">
        <f t="shared" si="17"/>
        <v>0</v>
      </c>
      <c r="G351" s="182"/>
    </row>
    <row r="352" spans="1:8" s="174" customFormat="1" ht="26" x14ac:dyDescent="0.35">
      <c r="A352" s="162" t="s">
        <v>375</v>
      </c>
      <c r="B352" s="180" t="s">
        <v>359</v>
      </c>
      <c r="C352" s="181" t="s">
        <v>355</v>
      </c>
      <c r="D352" s="281">
        <v>20.73</v>
      </c>
      <c r="E352" s="165"/>
      <c r="F352" s="236">
        <f t="shared" si="17"/>
        <v>0</v>
      </c>
      <c r="G352" s="182"/>
    </row>
    <row r="353" spans="1:8" s="174" customFormat="1" ht="26" x14ac:dyDescent="0.35">
      <c r="A353" s="162" t="s">
        <v>376</v>
      </c>
      <c r="B353" s="180" t="s">
        <v>476</v>
      </c>
      <c r="C353" s="181" t="s">
        <v>355</v>
      </c>
      <c r="D353" s="281">
        <v>14.58</v>
      </c>
      <c r="E353" s="165"/>
      <c r="F353" s="236">
        <f t="shared" si="17"/>
        <v>0</v>
      </c>
      <c r="G353" s="182"/>
    </row>
    <row r="354" spans="1:8" s="174" customFormat="1" ht="15.5" x14ac:dyDescent="0.35">
      <c r="A354" s="162" t="s">
        <v>377</v>
      </c>
      <c r="B354" s="180" t="s">
        <v>366</v>
      </c>
      <c r="C354" s="181" t="s">
        <v>74</v>
      </c>
      <c r="D354" s="281">
        <v>1</v>
      </c>
      <c r="E354" s="165"/>
      <c r="F354" s="236">
        <f t="shared" si="17"/>
        <v>0</v>
      </c>
      <c r="G354" s="182"/>
    </row>
    <row r="355" spans="1:8" s="174" customFormat="1" ht="15.5" x14ac:dyDescent="0.35">
      <c r="A355" s="162" t="s">
        <v>378</v>
      </c>
      <c r="B355" s="180" t="s">
        <v>368</v>
      </c>
      <c r="C355" s="181" t="s">
        <v>13</v>
      </c>
      <c r="D355" s="281">
        <v>1</v>
      </c>
      <c r="E355" s="165"/>
      <c r="F355" s="236">
        <f t="shared" si="17"/>
        <v>0</v>
      </c>
      <c r="G355" s="182"/>
    </row>
    <row r="356" spans="1:8" s="174" customFormat="1" ht="15.5" x14ac:dyDescent="0.35">
      <c r="A356" s="166"/>
      <c r="B356" s="167" t="s">
        <v>370</v>
      </c>
      <c r="C356" s="168"/>
      <c r="D356" s="276"/>
      <c r="E356" s="169"/>
      <c r="F356" s="237">
        <f>SUM(F349:F355)</f>
        <v>0</v>
      </c>
      <c r="G356" s="182"/>
      <c r="H356" s="150"/>
    </row>
    <row r="357" spans="1:8" s="150" customFormat="1" ht="15.5" x14ac:dyDescent="0.35">
      <c r="A357" s="170"/>
      <c r="B357" s="184" t="s">
        <v>379</v>
      </c>
      <c r="C357" s="172"/>
      <c r="D357" s="282">
        <v>5</v>
      </c>
      <c r="E357" s="173"/>
      <c r="F357" s="238">
        <f>F356*D357</f>
        <v>0</v>
      </c>
    </row>
    <row r="358" spans="1:8" s="150" customFormat="1" ht="15.5" x14ac:dyDescent="0.35">
      <c r="A358" s="152"/>
      <c r="B358" s="153"/>
      <c r="C358" s="154"/>
      <c r="D358" s="278"/>
      <c r="E358" s="156"/>
      <c r="F358" s="157"/>
      <c r="H358" s="174"/>
    </row>
    <row r="359" spans="1:8" s="174" customFormat="1" ht="15.5" x14ac:dyDescent="0.35">
      <c r="A359" s="175">
        <v>4.4000000000000004</v>
      </c>
      <c r="B359" s="177" t="s">
        <v>380</v>
      </c>
      <c r="C359" s="177"/>
      <c r="D359" s="279"/>
      <c r="E359" s="178"/>
      <c r="F359" s="179"/>
      <c r="G359" s="182"/>
    </row>
    <row r="360" spans="1:8" s="174" customFormat="1" ht="15.5" x14ac:dyDescent="0.35">
      <c r="A360" s="162" t="s">
        <v>381</v>
      </c>
      <c r="B360" s="185" t="s">
        <v>382</v>
      </c>
      <c r="C360" s="186" t="s">
        <v>383</v>
      </c>
      <c r="D360" s="283">
        <v>4</v>
      </c>
      <c r="E360" s="187"/>
      <c r="F360" s="239">
        <f>+D360*E360</f>
        <v>0</v>
      </c>
      <c r="G360" s="182"/>
    </row>
    <row r="361" spans="1:8" s="174" customFormat="1" ht="15.5" x14ac:dyDescent="0.35">
      <c r="A361" s="162" t="s">
        <v>384</v>
      </c>
      <c r="B361" s="188" t="s">
        <v>488</v>
      </c>
      <c r="C361" s="189" t="s">
        <v>355</v>
      </c>
      <c r="D361" s="284">
        <v>5.07</v>
      </c>
      <c r="E361" s="190"/>
      <c r="F361" s="240">
        <f>+D361*E361</f>
        <v>0</v>
      </c>
      <c r="G361" s="182"/>
    </row>
    <row r="362" spans="1:8" s="174" customFormat="1" ht="15.5" x14ac:dyDescent="0.35">
      <c r="A362" s="162" t="s">
        <v>385</v>
      </c>
      <c r="B362" s="191" t="s">
        <v>386</v>
      </c>
      <c r="C362" s="189" t="s">
        <v>13</v>
      </c>
      <c r="D362" s="284">
        <v>1</v>
      </c>
      <c r="E362" s="190"/>
      <c r="F362" s="240">
        <f>+D362*E362</f>
        <v>0</v>
      </c>
      <c r="G362" s="182"/>
    </row>
    <row r="363" spans="1:8" s="174" customFormat="1" ht="15.5" x14ac:dyDescent="0.35">
      <c r="A363" s="162" t="s">
        <v>387</v>
      </c>
      <c r="B363" s="188" t="s">
        <v>388</v>
      </c>
      <c r="C363" s="189" t="s">
        <v>74</v>
      </c>
      <c r="D363" s="284">
        <v>1</v>
      </c>
      <c r="E363" s="190"/>
      <c r="F363" s="240">
        <f>+D363*E363</f>
        <v>0</v>
      </c>
      <c r="G363" s="182"/>
    </row>
    <row r="364" spans="1:8" s="174" customFormat="1" ht="15.5" x14ac:dyDescent="0.35">
      <c r="A364" s="162" t="s">
        <v>389</v>
      </c>
      <c r="B364" s="188" t="s">
        <v>390</v>
      </c>
      <c r="C364" s="189" t="s">
        <v>13</v>
      </c>
      <c r="D364" s="284">
        <v>1</v>
      </c>
      <c r="E364" s="190"/>
      <c r="F364" s="240">
        <f>+D364*E364</f>
        <v>0</v>
      </c>
      <c r="G364" s="182"/>
    </row>
    <row r="365" spans="1:8" s="174" customFormat="1" ht="15.5" x14ac:dyDescent="0.35">
      <c r="A365" s="166"/>
      <c r="B365" s="167" t="s">
        <v>370</v>
      </c>
      <c r="C365" s="168"/>
      <c r="D365" s="276"/>
      <c r="E365" s="169"/>
      <c r="F365" s="237">
        <f>SUM(F360:F364)</f>
        <v>0</v>
      </c>
      <c r="G365" s="182"/>
      <c r="H365" s="150"/>
    </row>
    <row r="366" spans="1:8" s="150" customFormat="1" ht="15.5" x14ac:dyDescent="0.35">
      <c r="A366" s="170"/>
      <c r="B366" s="171" t="s">
        <v>391</v>
      </c>
      <c r="C366" s="172"/>
      <c r="D366" s="277">
        <v>6</v>
      </c>
      <c r="E366" s="173"/>
      <c r="F366" s="238">
        <f>F365*D366</f>
        <v>0</v>
      </c>
    </row>
    <row r="367" spans="1:8" s="150" customFormat="1" ht="15.5" x14ac:dyDescent="0.35">
      <c r="A367" s="152"/>
      <c r="B367" s="153"/>
      <c r="C367" s="154"/>
      <c r="D367" s="155"/>
      <c r="E367" s="156"/>
      <c r="F367" s="157"/>
      <c r="H367" s="101"/>
    </row>
    <row r="368" spans="1:8" s="104" customFormat="1" ht="15.5" x14ac:dyDescent="0.35">
      <c r="A368" s="192"/>
      <c r="B368" s="193"/>
      <c r="C368" s="194"/>
      <c r="D368" s="195"/>
      <c r="E368" s="110"/>
      <c r="F368" s="196"/>
    </row>
    <row r="369" spans="1:8" s="104" customFormat="1" ht="15.5" x14ac:dyDescent="0.35">
      <c r="A369" s="197"/>
      <c r="B369" s="198" t="s">
        <v>392</v>
      </c>
      <c r="C369" s="197"/>
      <c r="D369" s="199"/>
      <c r="E369" s="199"/>
      <c r="F369" s="241">
        <f>SUM(F333,F346,F357,F366)</f>
        <v>0</v>
      </c>
      <c r="H369" s="9"/>
    </row>
    <row r="370" spans="1:8" ht="15.5" x14ac:dyDescent="0.35">
      <c r="A370" s="200"/>
      <c r="B370" s="245" t="s">
        <v>393</v>
      </c>
      <c r="C370" s="200"/>
      <c r="D370" s="201"/>
      <c r="E370" s="202"/>
      <c r="F370" s="242">
        <f>SUM(F369,F314,F54,F22)</f>
        <v>0</v>
      </c>
    </row>
    <row r="371" spans="1:8" x14ac:dyDescent="0.35">
      <c r="B371" s="246"/>
    </row>
    <row r="372" spans="1:8" ht="15.5" x14ac:dyDescent="0.35">
      <c r="A372" s="203"/>
      <c r="B372" s="247" t="s">
        <v>461</v>
      </c>
      <c r="C372" s="203"/>
      <c r="D372" s="204"/>
      <c r="E372" s="205"/>
      <c r="F372" s="243">
        <f>F370*18/100</f>
        <v>0</v>
      </c>
    </row>
    <row r="373" spans="1:8" ht="15.5" x14ac:dyDescent="0.35">
      <c r="A373" s="206"/>
      <c r="B373" s="248"/>
      <c r="C373" s="206"/>
      <c r="D373" s="207"/>
      <c r="E373" s="208"/>
      <c r="F373" s="209"/>
    </row>
    <row r="374" spans="1:8" ht="15.5" x14ac:dyDescent="0.35">
      <c r="A374" s="210"/>
      <c r="B374" s="249" t="s">
        <v>462</v>
      </c>
      <c r="C374" s="210"/>
      <c r="D374" s="211"/>
      <c r="E374" s="212"/>
      <c r="F374" s="244">
        <f>F370+F372</f>
        <v>0</v>
      </c>
    </row>
  </sheetData>
  <sheetProtection algorithmName="SHA-512" hashValue="SEsS+ZxgFAiQzN6Ym5Hte5QPcc2IhkAjxgsWXiul/iXgsV6Hoq9mWOfzzHt4riRb/m1X9N8eZmWH5FQK7UfMeA==" saltValue="z0tDHeNOiDr3mYvQgS3WdA==" spinCount="100000" sheet="1" objects="1" scenarios="1"/>
  <mergeCells count="7">
    <mergeCell ref="B316:F316"/>
    <mergeCell ref="A13:F13"/>
    <mergeCell ref="A14:F14"/>
    <mergeCell ref="C150:C152"/>
    <mergeCell ref="D150:D152"/>
    <mergeCell ref="E150:E152"/>
    <mergeCell ref="F150:F152"/>
  </mergeCells>
  <conditionalFormatting sqref="B77:B89">
    <cfRule type="duplicateValues" dxfId="1" priority="2"/>
  </conditionalFormatting>
  <conditionalFormatting sqref="B112:B114">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14ED134777A489E03A3CF5B7B9528" ma:contentTypeVersion="15" ma:contentTypeDescription="Create a new document." ma:contentTypeScope="" ma:versionID="a2a2a90b40b09363f40fec731ab591fc">
  <xsd:schema xmlns:xsd="http://www.w3.org/2001/XMLSchema" xmlns:xs="http://www.w3.org/2001/XMLSchema" xmlns:p="http://schemas.microsoft.com/office/2006/metadata/properties" xmlns:ns2="579658dc-5ca5-4c57-b8e6-25cca62e8fa1" xmlns:ns3="ba03fa4d-5a13-460c-ab7e-58e5c63414c5" targetNamespace="http://schemas.microsoft.com/office/2006/metadata/properties" ma:root="true" ma:fieldsID="7041b43801a0eb563e0858d930b3c36b" ns2:_="" ns3:_="">
    <xsd:import namespace="579658dc-5ca5-4c57-b8e6-25cca62e8fa1"/>
    <xsd:import namespace="ba03fa4d-5a13-460c-ab7e-58e5c63414c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9658dc-5ca5-4c57-b8e6-25cca62e8f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ca4ef52-7c09-48d0-8f69-75e6c1e799b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a03fa4d-5a13-460c-ab7e-58e5c63414c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f4f98e1-2c1e-451a-ab7d-3bdf1d74dec2}" ma:internalName="TaxCatchAll" ma:showField="CatchAllData" ma:web="ba03fa4d-5a13-460c-ab7e-58e5c63414c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85B5F3-7DFB-4510-8A57-9D3A9ECC3A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9658dc-5ca5-4c57-b8e6-25cca62e8fa1"/>
    <ds:schemaRef ds:uri="ba03fa4d-5a13-460c-ab7e-58e5c63414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EFF6C0-0C84-4202-AFF4-0CF6FE5ECF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NYIRAMUHEBE-KANZOGERA-MUYUNZWE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2022-09-05T05:31:16Z</dcterms:created>
  <dcterms:modified xsi:type="dcterms:W3CDTF">2022-12-30T19:50:54Z</dcterms:modified>
</cp:coreProperties>
</file>